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Dominika\Documents\Usuwanie drzew i krzewów\Nasadzenia 2026\Zapytanie ofertowe\Ogłoszenie\"/>
    </mc:Choice>
  </mc:AlternateContent>
  <xr:revisionPtr revIDLastSave="0" documentId="13_ncr:1_{97A115A9-E1D0-4A63-9CBB-CF5F6B136B9D}" xr6:coauthVersionLast="47" xr6:coauthVersionMax="47" xr10:uidLastSave="{00000000-0000-0000-0000-000000000000}"/>
  <bookViews>
    <workbookView xWindow="-120" yWindow="-120" windowWidth="29040" windowHeight="15720" firstSheet="1" activeTab="5" xr2:uid="{91A52FFE-5434-4C15-B8A7-2BBEED41066D}"/>
  </bookViews>
  <sheets>
    <sheet name="Rozmowa_P. Starosta" sheetId="5" r:id="rId1"/>
    <sheet name="Kalkulacja kosztów" sheetId="2" r:id="rId2"/>
    <sheet name="Kalkulacja kosztów_2023" sheetId="3" r:id="rId3"/>
    <sheet name="Kalkulacja kosztów_2024" sheetId="4" r:id="rId4"/>
    <sheet name="Kalkulacja kosztów_jesień 2024" sheetId="6" r:id="rId5"/>
    <sheet name="Kalkulacja kosztów 2026" sheetId="7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7" l="1"/>
  <c r="X16" i="6" l="1"/>
  <c r="X14" i="6"/>
  <c r="X12" i="6"/>
  <c r="W16" i="6"/>
  <c r="W12" i="6"/>
  <c r="V16" i="6"/>
  <c r="V12" i="6"/>
  <c r="V6" i="6"/>
  <c r="V7" i="6"/>
  <c r="V8" i="6"/>
  <c r="V9" i="6"/>
  <c r="V10" i="6"/>
  <c r="V11" i="6"/>
  <c r="X6" i="6"/>
  <c r="X7" i="6"/>
  <c r="X8" i="6"/>
  <c r="X9" i="6"/>
  <c r="X10" i="6"/>
  <c r="X11" i="6"/>
  <c r="X5" i="6"/>
  <c r="W14" i="6"/>
  <c r="W6" i="6"/>
  <c r="W7" i="6"/>
  <c r="W8" i="6"/>
  <c r="W9" i="6"/>
  <c r="W10" i="6"/>
  <c r="W11" i="6"/>
  <c r="W5" i="6"/>
  <c r="V14" i="6"/>
  <c r="V5" i="6"/>
  <c r="T16" i="6"/>
  <c r="S16" i="6"/>
  <c r="R16" i="6"/>
  <c r="Q16" i="6"/>
  <c r="T15" i="6"/>
  <c r="S15" i="6"/>
  <c r="R15" i="6"/>
  <c r="Q15" i="6"/>
  <c r="T14" i="6"/>
  <c r="S14" i="6"/>
  <c r="R14" i="6"/>
  <c r="Q14" i="6"/>
  <c r="P14" i="6"/>
  <c r="N14" i="6"/>
  <c r="K14" i="6"/>
  <c r="T12" i="6"/>
  <c r="T6" i="6"/>
  <c r="T7" i="6"/>
  <c r="T8" i="6"/>
  <c r="T9" i="6"/>
  <c r="T10" i="6"/>
  <c r="T11" i="6"/>
  <c r="T5" i="6"/>
  <c r="S12" i="6"/>
  <c r="S6" i="6"/>
  <c r="S7" i="6"/>
  <c r="S8" i="6"/>
  <c r="S9" i="6"/>
  <c r="S10" i="6"/>
  <c r="S11" i="6"/>
  <c r="S5" i="6"/>
  <c r="R12" i="6"/>
  <c r="R6" i="6"/>
  <c r="R7" i="6"/>
  <c r="R8" i="6"/>
  <c r="R9" i="6"/>
  <c r="R10" i="6"/>
  <c r="R11" i="6"/>
  <c r="R5" i="6"/>
  <c r="Q12" i="6"/>
  <c r="Q6" i="6"/>
  <c r="Q7" i="6"/>
  <c r="Q8" i="6"/>
  <c r="Q9" i="6"/>
  <c r="Q10" i="6"/>
  <c r="Q11" i="6"/>
  <c r="P6" i="6"/>
  <c r="P7" i="6"/>
  <c r="P8" i="6"/>
  <c r="P9" i="6"/>
  <c r="P10" i="6"/>
  <c r="P11" i="6"/>
  <c r="P5" i="6"/>
  <c r="N6" i="6"/>
  <c r="N7" i="6"/>
  <c r="N8" i="6"/>
  <c r="N9" i="6"/>
  <c r="N10" i="6"/>
  <c r="N11" i="6"/>
  <c r="N5" i="6"/>
  <c r="M6" i="6"/>
  <c r="M7" i="6"/>
  <c r="M8" i="6"/>
  <c r="M9" i="6"/>
  <c r="M10" i="6"/>
  <c r="M11" i="6"/>
  <c r="M5" i="6"/>
  <c r="K6" i="6"/>
  <c r="K7" i="6"/>
  <c r="K8" i="6"/>
  <c r="K9" i="6"/>
  <c r="K10" i="6"/>
  <c r="K11" i="6"/>
  <c r="K5" i="6"/>
  <c r="F15" i="6"/>
  <c r="F12" i="6"/>
  <c r="Q5" i="6" l="1"/>
  <c r="L8" i="5"/>
  <c r="K8" i="5"/>
  <c r="F11" i="4"/>
  <c r="T10" i="4"/>
  <c r="S10" i="4"/>
  <c r="Q10" i="4"/>
  <c r="R10" i="4" s="1"/>
  <c r="T9" i="4"/>
  <c r="S9" i="4"/>
  <c r="Q9" i="4"/>
  <c r="T8" i="4"/>
  <c r="S8" i="4"/>
  <c r="Q8" i="4"/>
  <c r="R8" i="4" s="1"/>
  <c r="T7" i="4"/>
  <c r="S7" i="4"/>
  <c r="Q7" i="4"/>
  <c r="R7" i="4" s="1"/>
  <c r="T6" i="4"/>
  <c r="S6" i="4"/>
  <c r="Q6" i="4"/>
  <c r="R6" i="4" s="1"/>
  <c r="T5" i="4"/>
  <c r="S5" i="4"/>
  <c r="Q5" i="4"/>
  <c r="R5" i="4" s="1"/>
  <c r="X40" i="3"/>
  <c r="X41" i="3" s="1"/>
  <c r="W40" i="3"/>
  <c r="W41" i="3" s="1"/>
  <c r="X38" i="3"/>
  <c r="X37" i="3"/>
  <c r="W37" i="3"/>
  <c r="W38" i="3" s="1"/>
  <c r="X31" i="3"/>
  <c r="X32" i="3"/>
  <c r="X33" i="3"/>
  <c r="X34" i="3"/>
  <c r="W31" i="3"/>
  <c r="W32" i="3"/>
  <c r="W35" i="3" s="1"/>
  <c r="W33" i="3"/>
  <c r="W34" i="3"/>
  <c r="X30" i="3"/>
  <c r="W30" i="3"/>
  <c r="X23" i="3"/>
  <c r="W23" i="3"/>
  <c r="T23" i="3"/>
  <c r="S23" i="3"/>
  <c r="X25" i="3"/>
  <c r="X26" i="3"/>
  <c r="X27" i="3"/>
  <c r="W25" i="3"/>
  <c r="W26" i="3"/>
  <c r="W27" i="3"/>
  <c r="X24" i="3"/>
  <c r="W24" i="3"/>
  <c r="X14" i="3"/>
  <c r="X15" i="3"/>
  <c r="X16" i="3"/>
  <c r="X17" i="3"/>
  <c r="X18" i="3"/>
  <c r="X19" i="3"/>
  <c r="X20" i="3"/>
  <c r="X21" i="3"/>
  <c r="X22" i="3"/>
  <c r="W14" i="3"/>
  <c r="W15" i="3"/>
  <c r="W16" i="3"/>
  <c r="W17" i="3"/>
  <c r="W18" i="3"/>
  <c r="W19" i="3"/>
  <c r="W20" i="3"/>
  <c r="W21" i="3"/>
  <c r="W22" i="3"/>
  <c r="X13" i="3"/>
  <c r="W13" i="3"/>
  <c r="X11" i="3"/>
  <c r="W11" i="3"/>
  <c r="X9" i="3"/>
  <c r="W9" i="3"/>
  <c r="X7" i="3"/>
  <c r="W7" i="3"/>
  <c r="T41" i="3"/>
  <c r="T40" i="3"/>
  <c r="S40" i="3"/>
  <c r="S41" i="3" s="1"/>
  <c r="T37" i="3"/>
  <c r="T38" i="3" s="1"/>
  <c r="S37" i="3"/>
  <c r="S38" i="3" s="1"/>
  <c r="T31" i="3"/>
  <c r="T32" i="3"/>
  <c r="T33" i="3"/>
  <c r="T34" i="3"/>
  <c r="T30" i="3"/>
  <c r="S31" i="3"/>
  <c r="S35" i="3" s="1"/>
  <c r="S32" i="3"/>
  <c r="S33" i="3"/>
  <c r="S34" i="3"/>
  <c r="S30" i="3"/>
  <c r="T6" i="3"/>
  <c r="T7" i="3"/>
  <c r="T8" i="3"/>
  <c r="T9" i="3"/>
  <c r="T10" i="3"/>
  <c r="T11" i="3"/>
  <c r="T12" i="3"/>
  <c r="T13" i="3"/>
  <c r="T14" i="3"/>
  <c r="T15" i="3"/>
  <c r="T16" i="3"/>
  <c r="T17" i="3"/>
  <c r="T18" i="3"/>
  <c r="T19" i="3"/>
  <c r="T20" i="3"/>
  <c r="T21" i="3"/>
  <c r="T22" i="3"/>
  <c r="T24" i="3"/>
  <c r="T25" i="3"/>
  <c r="T26" i="3"/>
  <c r="T27" i="3"/>
  <c r="T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4" i="3"/>
  <c r="S25" i="3"/>
  <c r="S26" i="3"/>
  <c r="S27" i="3"/>
  <c r="S5" i="3"/>
  <c r="U23" i="3"/>
  <c r="V23" i="3" s="1"/>
  <c r="Q40" i="3"/>
  <c r="Q41" i="3" s="1"/>
  <c r="Q37" i="3"/>
  <c r="U37" i="3" s="1"/>
  <c r="U38" i="3" s="1"/>
  <c r="Q31" i="3"/>
  <c r="Q32" i="3"/>
  <c r="R32" i="3" s="1"/>
  <c r="V32" i="3" s="1"/>
  <c r="Q33" i="3"/>
  <c r="R33" i="3" s="1"/>
  <c r="V33" i="3" s="1"/>
  <c r="Q34" i="3"/>
  <c r="R34" i="3" s="1"/>
  <c r="V34" i="3" s="1"/>
  <c r="Q30" i="3"/>
  <c r="U30" i="3" s="1"/>
  <c r="Q19" i="3"/>
  <c r="U19" i="3" s="1"/>
  <c r="Q21" i="3"/>
  <c r="R21" i="3" s="1"/>
  <c r="V21" i="3" s="1"/>
  <c r="Q18" i="3"/>
  <c r="R18" i="3" s="1"/>
  <c r="V18" i="3" s="1"/>
  <c r="Q16" i="3"/>
  <c r="R16" i="3" s="1"/>
  <c r="V16" i="3" s="1"/>
  <c r="Q14" i="3"/>
  <c r="U14" i="3" s="1"/>
  <c r="Q23" i="3"/>
  <c r="R23" i="3" s="1"/>
  <c r="Q24" i="3"/>
  <c r="R24" i="3" s="1"/>
  <c r="Q25" i="3"/>
  <c r="R25" i="3" s="1"/>
  <c r="V25" i="3" s="1"/>
  <c r="Q26" i="3"/>
  <c r="U26" i="3" s="1"/>
  <c r="Q27" i="3"/>
  <c r="R27" i="3" s="1"/>
  <c r="V27" i="3" s="1"/>
  <c r="Q22" i="3"/>
  <c r="U22" i="3" s="1"/>
  <c r="Q20" i="3"/>
  <c r="U20" i="3" s="1"/>
  <c r="Q17" i="3"/>
  <c r="U17" i="3" s="1"/>
  <c r="Q15" i="3"/>
  <c r="R15" i="3" s="1"/>
  <c r="V15" i="3" s="1"/>
  <c r="Q6" i="3"/>
  <c r="R6" i="3" s="1"/>
  <c r="Q7" i="3"/>
  <c r="R7" i="3" s="1"/>
  <c r="V7" i="3" s="1"/>
  <c r="Q8" i="3"/>
  <c r="R8" i="3" s="1"/>
  <c r="Q9" i="3"/>
  <c r="U9" i="3" s="1"/>
  <c r="Q10" i="3"/>
  <c r="R10" i="3" s="1"/>
  <c r="Q11" i="3"/>
  <c r="U11" i="3" s="1"/>
  <c r="Q12" i="3"/>
  <c r="R12" i="3" s="1"/>
  <c r="Q13" i="3"/>
  <c r="R13" i="3" s="1"/>
  <c r="V13" i="3" s="1"/>
  <c r="Q5" i="3"/>
  <c r="R5" i="3" s="1"/>
  <c r="F41" i="3"/>
  <c r="F38" i="3"/>
  <c r="F35" i="3"/>
  <c r="F28" i="3"/>
  <c r="L6" i="2"/>
  <c r="L5" i="2"/>
  <c r="J6" i="2"/>
  <c r="J5" i="2"/>
  <c r="G5" i="2"/>
  <c r="G6" i="2"/>
  <c r="I5" i="2"/>
  <c r="I6" i="2"/>
  <c r="D5" i="2"/>
  <c r="D6" i="2"/>
  <c r="A7" i="2"/>
  <c r="F6" i="2"/>
  <c r="F5" i="2"/>
  <c r="R30" i="3" l="1"/>
  <c r="V30" i="3" s="1"/>
  <c r="R37" i="3"/>
  <c r="R38" i="3" s="1"/>
  <c r="X28" i="3"/>
  <c r="X35" i="3"/>
  <c r="T35" i="3"/>
  <c r="W28" i="3"/>
  <c r="W42" i="3" s="1"/>
  <c r="X42" i="3"/>
  <c r="T28" i="3"/>
  <c r="T42" i="3" s="1"/>
  <c r="S28" i="3"/>
  <c r="S42" i="3" s="1"/>
  <c r="U15" i="3"/>
  <c r="U16" i="3"/>
  <c r="U7" i="3"/>
  <c r="U18" i="3"/>
  <c r="R17" i="3"/>
  <c r="V17" i="3" s="1"/>
  <c r="S11" i="4"/>
  <c r="T11" i="4"/>
  <c r="Q11" i="4"/>
  <c r="R9" i="4"/>
  <c r="U21" i="3"/>
  <c r="R22" i="3"/>
  <c r="V22" i="3" s="1"/>
  <c r="R20" i="3"/>
  <c r="V20" i="3" s="1"/>
  <c r="U27" i="3"/>
  <c r="Q35" i="3"/>
  <c r="R19" i="3"/>
  <c r="V19" i="3" s="1"/>
  <c r="U34" i="3"/>
  <c r="V37" i="3"/>
  <c r="V38" i="3" s="1"/>
  <c r="R11" i="3"/>
  <c r="V11" i="3" s="1"/>
  <c r="U24" i="3"/>
  <c r="V24" i="3" s="1"/>
  <c r="U33" i="3"/>
  <c r="R26" i="3"/>
  <c r="V26" i="3" s="1"/>
  <c r="R14" i="3"/>
  <c r="V14" i="3" s="1"/>
  <c r="U13" i="3"/>
  <c r="U25" i="3"/>
  <c r="U32" i="3"/>
  <c r="R40" i="3"/>
  <c r="U31" i="3"/>
  <c r="Q28" i="3"/>
  <c r="R31" i="3"/>
  <c r="U40" i="3"/>
  <c r="U41" i="3" s="1"/>
  <c r="R9" i="3"/>
  <c r="V9" i="3" s="1"/>
  <c r="Q38" i="3"/>
  <c r="F42" i="3"/>
  <c r="K6" i="2"/>
  <c r="K5" i="2"/>
  <c r="O5" i="2"/>
  <c r="I7" i="2"/>
  <c r="O6" i="2"/>
  <c r="E5" i="2"/>
  <c r="M6" i="2"/>
  <c r="G7" i="2"/>
  <c r="M5" i="2"/>
  <c r="H6" i="2"/>
  <c r="L7" i="2"/>
  <c r="E6" i="2"/>
  <c r="F7" i="2"/>
  <c r="H5" i="2"/>
  <c r="J7" i="2"/>
  <c r="D7" i="2"/>
  <c r="U35" i="3" l="1"/>
  <c r="R11" i="4"/>
  <c r="V28" i="3"/>
  <c r="U28" i="3"/>
  <c r="U42" i="3" s="1"/>
  <c r="Q42" i="3"/>
  <c r="R28" i="3"/>
  <c r="V31" i="3"/>
  <c r="V35" i="3" s="1"/>
  <c r="R35" i="3"/>
  <c r="V40" i="3"/>
  <c r="V41" i="3" s="1"/>
  <c r="R41" i="3"/>
  <c r="O7" i="2"/>
  <c r="K7" i="2"/>
  <c r="M7" i="2"/>
  <c r="H7" i="2"/>
  <c r="E7" i="2"/>
  <c r="N6" i="2"/>
  <c r="N5" i="2"/>
  <c r="V42" i="3" l="1"/>
  <c r="R42" i="3"/>
  <c r="N7" i="2"/>
</calcChain>
</file>

<file path=xl/sharedStrings.xml><?xml version="1.0" encoding="utf-8"?>
<sst xmlns="http://schemas.openxmlformats.org/spreadsheetml/2006/main" count="525" uniqueCount="246">
  <si>
    <t>Lp.</t>
  </si>
  <si>
    <t>Lokalizacja usuwanych drzew/krzewów</t>
  </si>
  <si>
    <t>Naliczona opłata
TAK/NIE</t>
  </si>
  <si>
    <t>Wysokość opłaty</t>
  </si>
  <si>
    <t>Ilość drzew/krzewów do usunięcia</t>
  </si>
  <si>
    <t>Termin na usunięcie</t>
  </si>
  <si>
    <t>Rodzaj nasadzenia nasadzenia zastępczego (drzewo/krzew)</t>
  </si>
  <si>
    <t>Gatunek drzew/krzewów</t>
  </si>
  <si>
    <t>Ilość koniecznych do nadaszenia drzew
(szt.)</t>
  </si>
  <si>
    <t>Ilość koniecznych do nasadzenia krzewów (m2)</t>
  </si>
  <si>
    <t>Termin na wykonanie nasadzeń</t>
  </si>
  <si>
    <t>TAK</t>
  </si>
  <si>
    <t>1 drzewo liściaste</t>
  </si>
  <si>
    <t>drzewa liściaste</t>
  </si>
  <si>
    <t>NIE</t>
  </si>
  <si>
    <t>3 drzewa liściaste</t>
  </si>
  <si>
    <t>drzewo liściaste</t>
  </si>
  <si>
    <t>wierzba biała</t>
  </si>
  <si>
    <t>lipa drobnolistna</t>
  </si>
  <si>
    <t>kasztanowiec zwyczajny</t>
  </si>
  <si>
    <t>Koszt materiału netto</t>
  </si>
  <si>
    <t>Koszt nasadzenie netto</t>
  </si>
  <si>
    <t>Stawka VAT [8%]</t>
  </si>
  <si>
    <t>Stawka VAT [23%]</t>
  </si>
  <si>
    <t>Pielęgnacja brutto</t>
  </si>
  <si>
    <t>Pielegnacja netto</t>
  </si>
  <si>
    <t>KALKULACJA KOSZTÓW NASADZEŃ 2022 R.</t>
  </si>
  <si>
    <t>Decyzja Konserwatora Zabytków</t>
  </si>
  <si>
    <t>Decyzje Starosty Szamotulskiego</t>
  </si>
  <si>
    <t>Ilość drzew [szt.]</t>
  </si>
  <si>
    <t>Podstawa nasadzeń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</si>
  <si>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</si>
  <si>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</si>
  <si>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</si>
  <si>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</si>
  <si>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</si>
  <si>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</si>
  <si>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</si>
  <si>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</si>
  <si>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</si>
  <si>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</si>
  <si>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</si>
  <si>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</si>
  <si>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</si>
  <si>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</si>
  <si>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Jednostkowy koszt materiału brutto</t>
  </si>
  <si>
    <t>Koszt nasadzenia  brutto*</t>
  </si>
  <si>
    <t>* koszt nasadzenia = 30%wartości materiału</t>
  </si>
  <si>
    <t>** koszt pielęgnacji = 30% wartości materiału</t>
  </si>
  <si>
    <t>Koszt materiału brutto</t>
  </si>
  <si>
    <t>ł</t>
  </si>
  <si>
    <t>Wartość brutto
[f+i+l]</t>
  </si>
  <si>
    <t>Stawka VAT
[e+h+k]</t>
  </si>
  <si>
    <t>Wartośc netto
[d+g+j]</t>
  </si>
  <si>
    <t>BR.613.45.2018</t>
  </si>
  <si>
    <t>BR.613.89.2018</t>
  </si>
  <si>
    <t>BR.613.75.2019</t>
  </si>
  <si>
    <t>BR.613.90.2020</t>
  </si>
  <si>
    <t>BR.613.35.2019</t>
  </si>
  <si>
    <t>Data decyzji</t>
  </si>
  <si>
    <t>dz. nr ewid. 389, obręb Sędzinko</t>
  </si>
  <si>
    <t>dz. nr ewid. 188, obręb Ceradz Dolny</t>
  </si>
  <si>
    <t>Gmina Dusznki, Wilkowo nr dz.147</t>
  </si>
  <si>
    <t>13 drzew iglastych</t>
  </si>
  <si>
    <t>2 drzewa liściaste</t>
  </si>
  <si>
    <t>9 drzew liściastych</t>
  </si>
  <si>
    <t>jarząb pospolity</t>
  </si>
  <si>
    <t>Sygnatura sprawy</t>
  </si>
  <si>
    <t>Lokalizacja nasadzeń (obręb)</t>
  </si>
  <si>
    <t>Lokalizacja nasadzeń (nr ewid. dz.)</t>
  </si>
  <si>
    <t>Grzebienisko</t>
  </si>
  <si>
    <t>Duszniki</t>
  </si>
  <si>
    <t>Wilkowo</t>
  </si>
  <si>
    <t>RRG.6131.50.2018</t>
  </si>
  <si>
    <t>RRG.6131.108.2018</t>
  </si>
  <si>
    <t>RRG.6131.96.2019</t>
  </si>
  <si>
    <t>RRG.6131.87.2020</t>
  </si>
  <si>
    <t>RRG.6131.41.2019</t>
  </si>
  <si>
    <t>LP.</t>
  </si>
  <si>
    <t>ZAKRES USŁUGI/LOKALIZACJA</t>
  </si>
  <si>
    <t>GATUNEK</t>
  </si>
  <si>
    <t>WYMAGANIA JAKOŚCIOWE</t>
  </si>
  <si>
    <t>JM.</t>
  </si>
  <si>
    <t>ILOŚĆ</t>
  </si>
  <si>
    <t>TERMIN NASADZEŃ</t>
  </si>
  <si>
    <t>STAWKA VAT</t>
  </si>
  <si>
    <t>WARTOŚĆ BRUTTO f*(i+l+n)</t>
  </si>
  <si>
    <t>o</t>
  </si>
  <si>
    <t>DRZEWA</t>
  </si>
  <si>
    <t>Gmina Duszniki, dz. nr ewid. 293, obręb Sędzinko</t>
  </si>
  <si>
    <r>
      <t>lipa drobnolistna (</t>
    </r>
    <r>
      <rPr>
        <i/>
        <sz val="11"/>
        <rFont val="Times New Roman"/>
        <family val="1"/>
        <charset val="238"/>
      </rPr>
      <t>Tilia cordata)</t>
    </r>
  </si>
  <si>
    <t>Pa 180, 3 x szkół., obw. 12 cm, korona z min. 6 pędami szkieletowymi, osłonięta bryła korzeniowa.
Palikowanie wysokie</t>
  </si>
  <si>
    <t>szt.</t>
  </si>
  <si>
    <t>31.10.2023 r.</t>
  </si>
  <si>
    <t>Gmina Duszniki, dz. nr ewid. 408, obręb Grzebienisko</t>
  </si>
  <si>
    <r>
      <t>brzoza brodawkowata (</t>
    </r>
    <r>
      <rPr>
        <i/>
        <sz val="11"/>
        <rFont val="Times New Roman"/>
        <family val="1"/>
        <charset val="238"/>
      </rPr>
      <t>Betula pendula)</t>
    </r>
  </si>
  <si>
    <t>Pa 180, 3 x szkół., obw. 12 cm, korona z min. 6 pędami szkieletowymi, osłonięta bryła korzeniowa.
Palikowanie niskie</t>
  </si>
  <si>
    <t>Gmina Duszniki, dz. nr ewid. 108, obręb Ceradz Dolny (droga gminna - ul. Polna)</t>
  </si>
  <si>
    <t>Gmina Duszniki, dz. nr ewid. 298, obręb Sędziny</t>
  </si>
  <si>
    <t>Gmina Duszniki, dz. nr ewid. 188, obręb Ceradz Dolny</t>
  </si>
  <si>
    <t>Gmina Duszniki, dz. nr ewid. 276, obręb Grzebienisko</t>
  </si>
  <si>
    <r>
      <t>kasztanowiec zwyczajny (</t>
    </r>
    <r>
      <rPr>
        <i/>
        <sz val="11"/>
        <rFont val="Times New Roman"/>
        <family val="1"/>
        <charset val="238"/>
      </rPr>
      <t>Aesculus hippocastanum)</t>
    </r>
  </si>
  <si>
    <t>Gmina Duszniki, dz. nr ewid. 217, obręb Sędziny</t>
  </si>
  <si>
    <r>
      <t>klon zwyczajny (</t>
    </r>
    <r>
      <rPr>
        <i/>
        <sz val="11"/>
        <rFont val="Times New Roman"/>
        <family val="1"/>
        <charset val="238"/>
      </rPr>
      <t>Acer platanoides)</t>
    </r>
  </si>
  <si>
    <r>
      <t>wierzba biała (</t>
    </r>
    <r>
      <rPr>
        <i/>
        <sz val="11"/>
        <rFont val="Times New Roman"/>
        <family val="1"/>
        <charset val="238"/>
      </rPr>
      <t>Salix alba)</t>
    </r>
  </si>
  <si>
    <t>Pa 180, 3 x szkół., obw. min. 12 cm, korona z min. 5 pędami szkieletowymi, osłonięta bryła korzeniowa.
Palikowanie wysokie</t>
  </si>
  <si>
    <t>Gmina Duszniki, dz. nr ewid. 23, obręb Sędzinko</t>
  </si>
  <si>
    <t>Gmina Duszniki, dz. nr ewid. 316/4, obręb Duszniki</t>
  </si>
  <si>
    <r>
      <t>jarząb pospolity (</t>
    </r>
    <r>
      <rPr>
        <i/>
        <sz val="11"/>
        <rFont val="Times New Roman"/>
        <family val="1"/>
        <charset val="238"/>
      </rPr>
      <t>Sorbus aucuparia)</t>
    </r>
  </si>
  <si>
    <t>Gmina Duszniki, dz. nr ewid. 418/17, obręb Grzebienisko</t>
  </si>
  <si>
    <t>Gmina Duszniki, dz. nr ewid. 138/6, obręb Wierzeja</t>
  </si>
  <si>
    <t>Gmina Duszniki, dz. nr ewid. 548/2, obręb Podrzewie</t>
  </si>
  <si>
    <r>
      <t>klon polny (</t>
    </r>
    <r>
      <rPr>
        <i/>
        <sz val="11"/>
        <rFont val="Times New Roman"/>
        <family val="1"/>
        <charset val="238"/>
      </rPr>
      <t>Acer campestre)</t>
    </r>
  </si>
  <si>
    <t>Pa 180,3 x szkół., obw. 12 cm, korona z min. 6 pędami szkieletowymi, osłonięta bryła korzeniowa. Palikowanie wysokie</t>
  </si>
  <si>
    <t>Gmina Duszniki, dz. nr ewid. 390/10, obręb Sędzinko</t>
  </si>
  <si>
    <r>
      <t>świerk zwyczajny (</t>
    </r>
    <r>
      <rPr>
        <i/>
        <sz val="11"/>
        <rFont val="Times New Roman"/>
        <family val="1"/>
        <charset val="238"/>
      </rPr>
      <t>Picea abies)</t>
    </r>
  </si>
  <si>
    <t>N 150 x 3 szkól. Osłonięta bryła korzeniowa</t>
  </si>
  <si>
    <t>Gmina Duszniki, dz. nr ewid. 892/2, obręb Duszniki</t>
  </si>
  <si>
    <r>
      <t>wiśnia pilkowana (</t>
    </r>
    <r>
      <rPr>
        <i/>
        <sz val="11"/>
        <rFont val="Times New Roman"/>
        <family val="1"/>
        <charset val="238"/>
      </rPr>
      <t>Prunus serrulata 'Kanzan')</t>
    </r>
  </si>
  <si>
    <t>Pa 180, 3 x szkól., obw. 12 cm, korona z min. 6 pędami szkieletowymi, osłonięta bryla korzeniowa. Palikowanie wysokie</t>
  </si>
  <si>
    <t>Gmina Duszniki, dz. nr ewid. 901, obręb Duszniki</t>
  </si>
  <si>
    <r>
      <t>klon polny</t>
    </r>
    <r>
      <rPr>
        <i/>
        <sz val="11"/>
        <rFont val="Times New Roman"/>
        <family val="1"/>
        <charset val="238"/>
      </rPr>
      <t xml:space="preserve"> (Acer campestre)</t>
    </r>
  </si>
  <si>
    <t>Gmina Duszniki, dz. nr ewid. 883/33, obręb Duszniki</t>
  </si>
  <si>
    <r>
      <t>klon czerwony (</t>
    </r>
    <r>
      <rPr>
        <i/>
        <sz val="11"/>
        <rFont val="Times New Roman"/>
        <family val="1"/>
        <charset val="238"/>
      </rPr>
      <t>Acer rubrum)</t>
    </r>
  </si>
  <si>
    <r>
      <t>głóg pośredni (</t>
    </r>
    <r>
      <rPr>
        <i/>
        <sz val="11"/>
        <rFont val="Times New Roman"/>
        <family val="1"/>
        <charset val="238"/>
      </rPr>
      <t>Crataegus x media 'Paul's Scarlet')</t>
    </r>
  </si>
  <si>
    <t>Gmina Duszniki, dz. nr ewid. 147, obręb Wilkowo</t>
  </si>
  <si>
    <t>Gmina Duszniki, dz. nr ewid. 157/6, obręb Sękowo</t>
  </si>
  <si>
    <r>
      <t>klon jawor (</t>
    </r>
    <r>
      <rPr>
        <i/>
        <sz val="11"/>
        <rFont val="Times New Roman"/>
        <family val="1"/>
        <charset val="238"/>
      </rPr>
      <t>Acer pseudoplatanus)</t>
    </r>
  </si>
  <si>
    <t>Pa 180, 3 x szkół., obw. 14 cm, korona z min. 6 pędami szkieletowymi, osłonięta bryła korzeniowa.
Palikowanie niskie</t>
  </si>
  <si>
    <r>
      <t>wiąz pospolity (</t>
    </r>
    <r>
      <rPr>
        <i/>
        <sz val="11"/>
        <rFont val="Times New Roman"/>
        <family val="1"/>
        <charset val="238"/>
      </rPr>
      <t>Ulmus minor)</t>
    </r>
  </si>
  <si>
    <r>
      <t>grab pospolity (</t>
    </r>
    <r>
      <rPr>
        <i/>
        <sz val="11"/>
        <rFont val="Times New Roman"/>
        <family val="1"/>
        <charset val="238"/>
      </rPr>
      <t>Carpinus betulus)</t>
    </r>
  </si>
  <si>
    <r>
      <t>buk zwyczajny (</t>
    </r>
    <r>
      <rPr>
        <i/>
        <sz val="11"/>
        <rFont val="Times New Roman"/>
        <family val="1"/>
        <charset val="238"/>
      </rPr>
      <t>Fagus sylvatica)</t>
    </r>
  </si>
  <si>
    <t>SUMA:</t>
  </si>
  <si>
    <t>KRZEWY</t>
  </si>
  <si>
    <r>
      <t xml:space="preserve">tawuła szara </t>
    </r>
    <r>
      <rPr>
        <i/>
        <sz val="11"/>
        <rFont val="Times New Roman"/>
        <family val="1"/>
        <charset val="238"/>
      </rPr>
      <t>(Spiraea x cinerea 'Grwfsheim')</t>
    </r>
  </si>
  <si>
    <t>pojemnik C2-C3 2-3l 40-70 cm</t>
  </si>
  <si>
    <t>Gmina Duszniki, dz. nr ewid. 518/17, obręb Sędzinko</t>
  </si>
  <si>
    <r>
      <t>grab pospolity</t>
    </r>
    <r>
      <rPr>
        <i/>
        <sz val="11"/>
        <rFont val="Times New Roman"/>
        <family val="1"/>
        <charset val="238"/>
      </rPr>
      <t xml:space="preserve"> (Carpinus betulus 'Purpurea')</t>
    </r>
  </si>
  <si>
    <t>pojemnik C2-C3 2-3l 80-100 cm</t>
  </si>
  <si>
    <r>
      <t xml:space="preserve">Dereń biały </t>
    </r>
    <r>
      <rPr>
        <i/>
        <sz val="11"/>
        <rFont val="Times New Roman"/>
        <family val="1"/>
        <charset val="238"/>
      </rPr>
      <t>(Cornus alba 'Miracle')</t>
    </r>
  </si>
  <si>
    <t>pojemnik C2-C3 2-3l 60-90 cm</t>
  </si>
  <si>
    <r>
      <t xml:space="preserve">Dereń biały </t>
    </r>
    <r>
      <rPr>
        <i/>
        <sz val="11"/>
        <rFont val="Times New Roman"/>
        <family val="1"/>
        <charset val="238"/>
      </rPr>
      <t>(Cornus alba 'Elegantssima')</t>
    </r>
  </si>
  <si>
    <t>Gmina Duszniki, dz. nr ewid. 901, obreb Duszniki</t>
  </si>
  <si>
    <r>
      <t>Żywotnik zachodni (</t>
    </r>
    <r>
      <rPr>
        <i/>
        <sz val="11"/>
        <rFont val="Times New Roman"/>
        <family val="1"/>
        <charset val="238"/>
      </rPr>
      <t xml:space="preserve">'Danica') </t>
    </r>
  </si>
  <si>
    <t>pojemnik C2-C3 2-3l 20-30 cm</t>
  </si>
  <si>
    <t>BYLINY</t>
  </si>
  <si>
    <r>
      <t xml:space="preserve">Liliowiec </t>
    </r>
    <r>
      <rPr>
        <i/>
        <sz val="11"/>
        <color theme="1"/>
        <rFont val="Times New Roman"/>
        <family val="1"/>
        <charset val="238"/>
      </rPr>
      <t>'Stella de Oro' Hemerocallis</t>
    </r>
  </si>
  <si>
    <t>pojemnik C3</t>
  </si>
  <si>
    <t>TRAWY</t>
  </si>
  <si>
    <r>
      <t>Miskant chiński (</t>
    </r>
    <r>
      <rPr>
        <i/>
        <sz val="11"/>
        <color theme="1"/>
        <rFont val="Times New Roman"/>
        <family val="1"/>
        <charset val="238"/>
      </rPr>
      <t xml:space="preserve">Gracillimus Miscanthus sinensis) </t>
    </r>
  </si>
  <si>
    <t>pojemnik C3-C4</t>
  </si>
  <si>
    <t>CENA JEDNOSTKOWA MATERIAŁU ROŚLINNEGO NETTO cena oferty z ubiegłego roku z uwaglęnieniem prognozowango średniorocznego wskaźnika inflacji w 2023 r. w wysokości 12% (dla 1 szt.)</t>
  </si>
  <si>
    <t>CENA JEDNOSTKOWA MATERIAŁU ROŚLINNEGO BRUTTO  cena oferty z ubiegłego roku z uwaglęnieniem prognozowango średniorocznego wskaźnika inflacji w 2023 r. w wysokości 12%(dla 1 szt.)</t>
  </si>
  <si>
    <t>CENA JEDNOSTKOWA POSADZENIA MATERIAŁU ROŚLINNEGO NETTO  cena oferty z ubiegłego roku z uwaglęnieniem prognozowango średniorocznego wskaźnika inflacji w 2023 r. w wysokości 12% (dla 1 szt.)</t>
  </si>
  <si>
    <t>CENA JEDNOSTKOWA POSADZENIA MATERIAŁU ROŚLINNEGO BRUTTO cena oferty z ubiegłego roku z uwaglęnieniem prognozowango średniorocznego wskaźnika inflacji w 2023 r. w wysokości 12% (dla 1 szt.)</t>
  </si>
  <si>
    <t>PILEGNACJA MATERIAŁU ROŚLINNEGO 2024 R. NETTO  cena oferty z ubiegłego roku z uwaglęnieniem prognozowango średniorocznego wskaźnika inflacji w 2023 r. w wysokości 12% (dla 1 szt.)*</t>
  </si>
  <si>
    <t>PILEGNACJA MATERIAŁU ROŚLINNEGO 2024 R. BRUTTO  cena oferty z ubiegłego roku z uwaglęnieniem prognozowango średniorocznego wskaźnika inflacji w 2023 r. w wysokości 12% (dla 1 szt.)</t>
  </si>
  <si>
    <t>WARTOŚĆ NETTO f*(i+l+n)</t>
  </si>
  <si>
    <t>p</t>
  </si>
  <si>
    <t>WARTOŚĆ BRUTTO BEZ DECYZJI STAROSTY Z 0,00 OPŁATĄ</t>
  </si>
  <si>
    <t>WARTOŚĆ NETTO BEZ DECYZJI STAROSTY Z 0,00 OPŁATĄ</t>
  </si>
  <si>
    <t>r</t>
  </si>
  <si>
    <t>s</t>
  </si>
  <si>
    <t>WYKAZ CEN JEDNOSTKOWYCH USŁUG ZWIĄZANYCH Z REALIZACJĄ ZAMÓWIENIA_NASADZENIA 2023</t>
  </si>
  <si>
    <t>PIELEGNACJA BRUTTO
WPF 2024</t>
  </si>
  <si>
    <t>PIELEGNACJA NETTO
WPF 2025</t>
  </si>
  <si>
    <t>t</t>
  </si>
  <si>
    <t>u</t>
  </si>
  <si>
    <t>w</t>
  </si>
  <si>
    <t>x</t>
  </si>
  <si>
    <t>Nr decyzji Starosty Szamotulskiego</t>
  </si>
  <si>
    <t>OS.613.27.2023</t>
  </si>
  <si>
    <t>Duszniki, dz. nr ewid. 936/4,
ul. Jarzębinowa</t>
  </si>
  <si>
    <t>dz. nr. ewid. 408, obręb Grzebienisko</t>
  </si>
  <si>
    <t>1 drzewo lisciaste</t>
  </si>
  <si>
    <t>brzoza brodawkowata</t>
  </si>
  <si>
    <t>dz. nr ewid. 276, 313/1, 304, 330, 309, obręb Grzebienisko, ul. Kasztanowa</t>
  </si>
  <si>
    <t>Sedzinko</t>
  </si>
  <si>
    <t>Caradz Dolny</t>
  </si>
  <si>
    <t>936/4</t>
  </si>
  <si>
    <t>ROS.6131.26.2023.PG</t>
  </si>
  <si>
    <t>31.05.2024 r.</t>
  </si>
  <si>
    <t>PIELEGNACJA BRUTTO
WPF 2025</t>
  </si>
  <si>
    <t>CENA JEDNOSTKOWA POSADZENIA MATERIAŁU ROŚLINNEGO BRUTTO 30% jednostkowej ceny brutto materiału z uwaglęnieniem prognozowango średniorocznego wskaźnika inflacji w 2024 r. w wysokości 6,6% (dla 1 szt.)</t>
  </si>
  <si>
    <t>PILEGNACJA MATERIAŁU ROŚLINNEGO 2025 R. BRUTTO  30% jednostkowej ceny brutto materiałuu z uwaglęnieniem prognozowango średniorocznego wskaźnika inflacji w 2024 r. w wysokości 6,6% (dla 1 szt.)</t>
  </si>
  <si>
    <t>PILEGNACJA MATERIAŁU ROŚLINNEGO 2025 R. NETTO  30% jednostkowej ceny netto materiału z uwaglęnieniem prognozowango średniorocznego wskaźnika inflacji w 2024 r. w wysokości 6,6% (dla 1 szt.)*</t>
  </si>
  <si>
    <t>CENA JEDNOSTKOWA POSADZENIA MATERIAŁU ROŚLINNEGO NETTO  30% jednostkowej ceny netto materiału z uwaglęnieniem prognozowango średniorocznego wskaźnika inflacji w 2024 r. w wysokości 6,6% (dla 1 szt.)</t>
  </si>
  <si>
    <r>
      <t xml:space="preserve">brzoza brodawkowata </t>
    </r>
    <r>
      <rPr>
        <i/>
        <sz val="11"/>
        <rFont val="Times New Roman"/>
        <family val="1"/>
        <charset val="238"/>
      </rPr>
      <t>(Betula pendula)</t>
    </r>
  </si>
  <si>
    <r>
      <t xml:space="preserve">kasztanowiec zwyczajny  </t>
    </r>
    <r>
      <rPr>
        <i/>
        <sz val="11"/>
        <rFont val="Times New Roman"/>
        <family val="1"/>
        <charset val="238"/>
      </rPr>
      <t xml:space="preserve">(Aesculus hippocastanum) </t>
    </r>
  </si>
  <si>
    <t>CENA JEDNOSTKOWA MATERIAŁU ROŚLINNEGO NETTO średnia cena oferty z ubiegłego roku z uwaglęnieniem prognozowango średniorocznego wskaźnika inflacji w 2024 r. w wysokości 6,6% (dla 1 szt.)</t>
  </si>
  <si>
    <t>CENA JEDNOSTKOWA MATERIAŁU ROŚLINNEGO BRUTTO  średnia cena oferty z ubiegłego roku z uwaglęnieniem prognozowango średniorocznego wskaźnika inflacji w 2024 r. w wysokości 6,6%(dla 1 szt.)</t>
  </si>
  <si>
    <r>
      <t>wierzba biała</t>
    </r>
    <r>
      <rPr>
        <i/>
        <sz val="11"/>
        <rFont val="Times New Roman"/>
        <family val="1"/>
        <charset val="238"/>
      </rPr>
      <t xml:space="preserve"> (Salix alba)</t>
    </r>
  </si>
  <si>
    <r>
      <t>lipa drobnolistna</t>
    </r>
    <r>
      <rPr>
        <i/>
        <sz val="11"/>
        <rFont val="Times New Roman"/>
        <family val="1"/>
        <charset val="238"/>
      </rPr>
      <t xml:space="preserve"> (Tilia cordata)</t>
    </r>
  </si>
  <si>
    <t>Gmina Duszniki, dz. nr ewid.936/4, obręb Duszniki</t>
  </si>
  <si>
    <t>jarząb pospolity (Sorbus aucuparia)</t>
  </si>
  <si>
    <t>WYKAZ CEN JEDNOSTKOWYCH USŁUG ZWIĄZANYCH Z REALIZACJĄ ZAMÓWIENIA_NASADZENIA 2024</t>
  </si>
  <si>
    <t>Gmina Duszniki, dz. nr ewid. 235/2, obręb Podrzewie</t>
  </si>
  <si>
    <t>15.11.2024 r.</t>
  </si>
  <si>
    <t>CENA JEDNOSTKOWA POSADZENIA MATERIAŁU ROŚLINNEGO NETTO  30% jednostkowej ceny netto materiału  (dla 1 szt.)</t>
  </si>
  <si>
    <r>
      <t xml:space="preserve">wiśnia pilkowana </t>
    </r>
    <r>
      <rPr>
        <i/>
        <sz val="11"/>
        <rFont val="Times New Roman"/>
        <family val="1"/>
        <charset val="238"/>
      </rPr>
      <t>(Prunus serrulata 'Kanzan')</t>
    </r>
  </si>
  <si>
    <t>Gmina Duszniki, dz. nr ewid. 316/3, obręb Duszniki</t>
  </si>
  <si>
    <r>
      <t xml:space="preserve">głóg pośredni </t>
    </r>
    <r>
      <rPr>
        <i/>
        <sz val="11"/>
        <rFont val="Times New Roman"/>
        <family val="1"/>
        <charset val="238"/>
      </rPr>
      <t>(Crataegus x media 'Paul's Scarlet')</t>
    </r>
  </si>
  <si>
    <t>18.10.2024 r.</t>
  </si>
  <si>
    <t>Gmina Duszniki, dz. nr ewid. 1166, obręb Duszniki</t>
  </si>
  <si>
    <r>
      <t xml:space="preserve">klon zwyczajny </t>
    </r>
    <r>
      <rPr>
        <i/>
        <sz val="11"/>
        <rFont val="Times New Roman"/>
        <family val="1"/>
        <charset val="238"/>
      </rPr>
      <t>(Acer platanoides)</t>
    </r>
  </si>
  <si>
    <t>Gmina Duszniki, dz. nr ewid. 902/2, obręb Duszniki</t>
  </si>
  <si>
    <t>Pa 180, 3 x szkół., obw. 14-16 cm, korona z min. 6 pędami szkieletowymi, osłonięta bryła korzeniowa.
Palikowanie wysokie</t>
  </si>
  <si>
    <t>Gmina Duszniki, dz. nr ewid. 597, obręb Duszniki</t>
  </si>
  <si>
    <t>róża 'Merkury 2000'</t>
  </si>
  <si>
    <t>SUMA drzewa:</t>
  </si>
  <si>
    <t>SUMA krzewy:</t>
  </si>
  <si>
    <t>CENA JEDNOSTKOWA MATERIAŁU ROŚLINNEGO NETTO  (dla 1 szt.)</t>
  </si>
  <si>
    <t>CENA JEDNOSTKOWA MATERIAŁU ROŚLINNEGO BRUTTO  (dla 1 szt.)</t>
  </si>
  <si>
    <t>CENA JEDNOSTKOWA POSADZENIA MATERIAŁU ROŚLINNEGO BRUTTO 30% jednostkowej ceny brutto materiału (dla 1 szt.)</t>
  </si>
  <si>
    <t>PILEGNACJA MATERIAŁU ROŚLINNEGO 2025 R. NETTO  30% jednostkowej ceny netto materiału  (dla 1 szt.)*</t>
  </si>
  <si>
    <t>PILEGNACJA MATERIAŁU ROŚLINNEGO 2025 R. BRUTTO  30% jednostkowej ceny brutto materiału (dla 1 szt.)</t>
  </si>
  <si>
    <t>pojemnik C3-C4, wiek min. 3 lata, min. 5 pędów szkieletowych, osłonięta bryła korzeniowa</t>
  </si>
  <si>
    <t>WYKAZ CEN JEDNOSTKOWYCH USŁUG ZWIĄZANYCH Z REALIZACJĄ ZAMÓWIENIA_NASADZENIA JESIEŃ 2024</t>
  </si>
  <si>
    <t>Materiał</t>
  </si>
  <si>
    <t>Nasadzenie</t>
  </si>
  <si>
    <t>Pielegnacja WPF 2025</t>
  </si>
  <si>
    <t>dz. nr ewid. 316/3, obręb Duszniki</t>
  </si>
  <si>
    <t>dz. nr ewid. 936/4, obręb Duszniki</t>
  </si>
  <si>
    <t>dz. nr ewid. 583/4, obręb Duszniki</t>
  </si>
  <si>
    <t>dz. nr ewid. 106, obręb Sędziny</t>
  </si>
  <si>
    <t>dz. nr ewid. 485, obręb Sędzinko</t>
  </si>
  <si>
    <t>dz. nr ewid. 597, 591, obręb Duszniki (Park Dworski)</t>
  </si>
  <si>
    <t>dz. nr ewid. 591, obręb Duszniki (Park Dworski)</t>
  </si>
  <si>
    <t>dz. nr ewid. 1114/3, obręb Duszniki</t>
  </si>
  <si>
    <t>głóg dwuszyjkowy "Paul's Scarlet"</t>
  </si>
  <si>
    <t>Pa 180, 3 x szkół., prosty pień, przewodnik wykształcony od korzeni do pąków szczytowych, z równomiernie  rozłożonymi pędami korony i o obwodach pni mierzonych na wysokości 100 cm min 10 cm.</t>
  </si>
  <si>
    <t>Pa 180, 3 x szkół., obw. 12 -14 cm, korona z min. 6 pędami szkieletowymi, osłonięta bryła korzeniowa.
Zabezpieczenie drzew przed złamanie poprzez opalikowanie z uzyciem 3 palików o średnicy 60 cm, w rozstawie 60-70 cm, ustabilizowanych taśmą na 2/3 wysokości pnia.</t>
  </si>
  <si>
    <t>Pa 180, 3 x szkół., obw. 12 - 14 cm, korona z min. 6 pędami szkieletowymi, osłonięta bryła korzeniowa.
Zabezpieczenie drzew przed złamanie poprzez opalikowanie z uzyciem 3 palików o średnicy 60 cm, w rozstawie 60-70 cm, ustabilizowanych taśmą na 2/3 wysokości pnia.</t>
  </si>
  <si>
    <t>Pa 180, 3 x szkół., obw. 14 -16 cm, korona z min. 6 pędami szkieletowymi, osłonięta bryła korzeniowa.
Zabezpieczenie drzew przed złamanie poprzez opalikowanie z uzyciem 3 palików o średnicy 60 cm, w rozstawie 60-70 cm, ustabilizowanych taśmą na 2/3 wysokości pnia.</t>
  </si>
  <si>
    <t>Pa 180, 3 x szkół., obw. 12 -14 cm, korona z min. 6 pędami szkieletowymi, osłonięta bryła korzeniowa.Zabezpieczenie drzew przed złamanie poprzez opalikowanie z uzyciem 3 palików o średnicy 60 cm, w rozstawie 60-70 cm, ustabilizowanych taśmą na 2/3 wysokości pnia.</t>
  </si>
  <si>
    <t>* Pielęgnacja w 2026 i 2027 r., w tym: 
1. podlewanie w sezonie wegetacyjnym w zależności od bilansu opadów oraz od wymagań poszczególnych grup roślin, tak aby utrzymywać podłoże w optymalnej wilgotności. Gmina Duszniki nie zapewnia dostępu do wody;
2. nawożenie co najmniej raz w sezonie wegetacyjnym (wiosną) nawozami o przedłużonym działaniu, odchwaszczanie mis wokół drzew i krzewów co najmniej raz w miesiącu w okresie wegetacji, uzupełnianie palików i wiązań na bieżąco, uzupełnienie kory.
Zakres czynności, który obejmuje pielęgnacja, został wymioniony szczegółowo w dokumencie"SPECYFIKACJA WYKONANIA I PIELEGNACJI ROŚLIN NA TERENIE GMINY DUSZNIKI".</t>
  </si>
  <si>
    <t>Zalacznik nr 1 do Specyfikacji warunków zamówienia</t>
  </si>
  <si>
    <t>LOKLAIZACJA</t>
  </si>
  <si>
    <t>WYKAZ MATERIAŁU DO NASADZEŃ</t>
  </si>
  <si>
    <r>
      <t xml:space="preserve">jarząb pospolity
</t>
    </r>
    <r>
      <rPr>
        <i/>
        <sz val="11"/>
        <rFont val="Calibri"/>
        <family val="2"/>
        <charset val="238"/>
        <scheme val="minor"/>
      </rPr>
      <t>Sorbus aucuparia</t>
    </r>
  </si>
  <si>
    <r>
      <t xml:space="preserve">świerk pospolity
</t>
    </r>
    <r>
      <rPr>
        <i/>
        <sz val="11"/>
        <rFont val="Calibri"/>
        <family val="2"/>
        <charset val="238"/>
        <scheme val="minor"/>
      </rPr>
      <t>Picea abies</t>
    </r>
  </si>
  <si>
    <r>
      <t xml:space="preserve">żywotnik zachodni
</t>
    </r>
    <r>
      <rPr>
        <i/>
        <sz val="11"/>
        <rFont val="Calibri"/>
        <family val="2"/>
        <charset val="238"/>
        <scheme val="minor"/>
      </rPr>
      <t>Thuja occidental</t>
    </r>
    <r>
      <rPr>
        <sz val="11"/>
        <rFont val="Calibri"/>
        <family val="2"/>
        <charset val="238"/>
        <scheme val="minor"/>
      </rPr>
      <t>is</t>
    </r>
  </si>
  <si>
    <r>
      <t xml:space="preserve">klon polny
</t>
    </r>
    <r>
      <rPr>
        <i/>
        <sz val="11"/>
        <rFont val="Calibri"/>
        <family val="2"/>
        <charset val="238"/>
        <scheme val="minor"/>
      </rPr>
      <t>Acer campestre</t>
    </r>
  </si>
  <si>
    <r>
      <rPr>
        <sz val="11"/>
        <rFont val="Calibri"/>
        <family val="2"/>
        <charset val="238"/>
        <scheme val="minor"/>
      </rPr>
      <t>jesion wyniosły</t>
    </r>
    <r>
      <rPr>
        <i/>
        <sz val="11"/>
        <rFont val="Calibri"/>
        <family val="2"/>
        <charset val="238"/>
        <scheme val="minor"/>
      </rPr>
      <t xml:space="preserve">
Fraxinus excelsior</t>
    </r>
  </si>
  <si>
    <r>
      <t>grab pospolity</t>
    </r>
    <r>
      <rPr>
        <i/>
        <sz val="11"/>
        <rFont val="Calibri"/>
        <family val="2"/>
        <charset val="238"/>
        <scheme val="minor"/>
      </rPr>
      <t xml:space="preserve">
</t>
    </r>
    <r>
      <rPr>
        <sz val="11"/>
        <rFont val="Calibri"/>
        <family val="2"/>
        <charset val="238"/>
        <scheme val="minor"/>
      </rPr>
      <t>Carpinus betulus</t>
    </r>
  </si>
  <si>
    <r>
      <t xml:space="preserve">jesion wyniosły
</t>
    </r>
    <r>
      <rPr>
        <i/>
        <sz val="11"/>
        <rFont val="Calibri"/>
        <family val="2"/>
        <charset val="238"/>
        <scheme val="minor"/>
      </rPr>
      <t>Fraxinus excelsior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</si>
</sst>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238"/>
      <scheme val="minor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name val="Cambria"/>
      <family val="1"/>
      <charset val="238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2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4" fontId="2" fillId="0" borderId="6" xfId="0" applyNumberFormat="1" applyFont="1" applyBorder="1" applyAlignment="1">
      <alignment horizontal="center" vertical="center"/>
    </xf>
    <xf numFmtId="4" fontId="2" fillId="0" borderId="13" xfId="0" applyNumberFormat="1" applyFont="1" applyBorder="1" applyAlignment="1">
      <alignment horizontal="center" vertical="center"/>
    </xf>
    <xf numFmtId="4" fontId="2" fillId="0" borderId="14" xfId="0" applyNumberFormat="1" applyFont="1" applyBorder="1" applyAlignment="1">
      <alignment horizontal="center" vertical="center"/>
    </xf>
    <xf numFmtId="4" fontId="3" fillId="0" borderId="15" xfId="0" applyNumberFormat="1" applyFont="1" applyBorder="1" applyAlignment="1">
      <alignment horizontal="center" vertical="center"/>
    </xf>
    <xf numFmtId="4" fontId="3" fillId="0" borderId="16" xfId="0" applyNumberFormat="1" applyFont="1" applyBorder="1" applyAlignment="1">
      <alignment horizontal="center" vertical="center"/>
    </xf>
    <xf numFmtId="4" fontId="3" fillId="0" borderId="17" xfId="0" applyNumberFormat="1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4" fontId="2" fillId="0" borderId="18" xfId="0" applyNumberFormat="1" applyFont="1" applyBorder="1" applyAlignment="1">
      <alignment horizontal="center" vertical="center" wrapText="1"/>
    </xf>
    <xf numFmtId="0" fontId="3" fillId="0" borderId="0" xfId="0" applyFont="1"/>
    <xf numFmtId="4" fontId="3" fillId="2" borderId="15" xfId="0" applyNumberFormat="1" applyFont="1" applyFill="1" applyBorder="1" applyAlignment="1">
      <alignment horizontal="center" vertical="center"/>
    </xf>
    <xf numFmtId="4" fontId="3" fillId="2" borderId="16" xfId="0" applyNumberFormat="1" applyFont="1" applyFill="1" applyBorder="1" applyAlignment="1">
      <alignment vertical="center"/>
    </xf>
    <xf numFmtId="4" fontId="3" fillId="2" borderId="17" xfId="0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" fontId="0" fillId="0" borderId="0" xfId="0" applyNumberFormat="1"/>
    <xf numFmtId="0" fontId="1" fillId="4" borderId="0" xfId="0" applyFont="1" applyFill="1" applyAlignment="1">
      <alignment horizontal="center" vertical="center" wrapText="1"/>
    </xf>
    <xf numFmtId="0" fontId="0" fillId="4" borderId="0" xfId="0" applyFill="1"/>
    <xf numFmtId="3" fontId="6" fillId="6" borderId="27" xfId="0" applyNumberFormat="1" applyFont="1" applyFill="1" applyBorder="1" applyAlignment="1">
      <alignment horizontal="center" vertical="center" wrapText="1"/>
    </xf>
    <xf numFmtId="4" fontId="6" fillId="6" borderId="28" xfId="0" applyNumberFormat="1" applyFont="1" applyFill="1" applyBorder="1" applyAlignment="1">
      <alignment horizontal="center" vertical="center" wrapText="1"/>
    </xf>
    <xf numFmtId="4" fontId="6" fillId="6" borderId="29" xfId="0" applyNumberFormat="1" applyFont="1" applyFill="1" applyBorder="1" applyAlignment="1">
      <alignment horizontal="center" vertical="center" wrapText="1"/>
    </xf>
    <xf numFmtId="4" fontId="6" fillId="6" borderId="30" xfId="0" applyNumberFormat="1" applyFont="1" applyFill="1" applyBorder="1" applyAlignment="1">
      <alignment horizontal="center" vertical="center" wrapText="1"/>
    </xf>
    <xf numFmtId="4" fontId="6" fillId="6" borderId="31" xfId="0" applyNumberFormat="1" applyFont="1" applyFill="1" applyBorder="1" applyAlignment="1">
      <alignment horizontal="center" vertical="center" wrapText="1"/>
    </xf>
    <xf numFmtId="4" fontId="6" fillId="6" borderId="32" xfId="0" applyNumberFormat="1" applyFont="1" applyFill="1" applyBorder="1" applyAlignment="1">
      <alignment horizontal="center" vertical="center" wrapText="1"/>
    </xf>
    <xf numFmtId="3" fontId="3" fillId="6" borderId="15" xfId="0" applyNumberFormat="1" applyFont="1" applyFill="1" applyBorder="1" applyAlignment="1">
      <alignment horizontal="center" vertical="center" wrapText="1"/>
    </xf>
    <xf numFmtId="4" fontId="3" fillId="6" borderId="16" xfId="0" applyNumberFormat="1" applyFont="1" applyFill="1" applyBorder="1" applyAlignment="1">
      <alignment horizontal="center" vertical="center" wrapText="1"/>
    </xf>
    <xf numFmtId="4" fontId="3" fillId="6" borderId="17" xfId="0" applyNumberFormat="1" applyFont="1" applyFill="1" applyBorder="1" applyAlignment="1">
      <alignment horizontal="center" vertical="center" wrapText="1"/>
    </xf>
    <xf numFmtId="4" fontId="3" fillId="6" borderId="15" xfId="0" applyNumberFormat="1" applyFont="1" applyFill="1" applyBorder="1" applyAlignment="1">
      <alignment horizontal="center" vertical="center" wrapText="1"/>
    </xf>
    <xf numFmtId="3" fontId="5" fillId="0" borderId="21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4" borderId="4" xfId="0" applyNumberFormat="1" applyFont="1" applyFill="1" applyBorder="1" applyAlignment="1">
      <alignment horizontal="center" vertical="center" wrapText="1"/>
    </xf>
    <xf numFmtId="4" fontId="8" fillId="0" borderId="5" xfId="0" applyNumberFormat="1" applyFont="1" applyBorder="1" applyAlignment="1">
      <alignment horizontal="center" vertical="center" wrapText="1"/>
    </xf>
    <xf numFmtId="3" fontId="5" fillId="0" borderId="13" xfId="0" applyNumberFormat="1" applyFont="1" applyBorder="1" applyAlignment="1">
      <alignment horizontal="center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4" borderId="6" xfId="0" applyNumberFormat="1" applyFont="1" applyFill="1" applyBorder="1" applyAlignment="1">
      <alignment horizontal="center" vertical="center" wrapText="1"/>
    </xf>
    <xf numFmtId="4" fontId="8" fillId="0" borderId="7" xfId="0" applyNumberFormat="1" applyFont="1" applyBorder="1" applyAlignment="1">
      <alignment horizontal="center" vertical="center" wrapText="1"/>
    </xf>
    <xf numFmtId="3" fontId="5" fillId="0" borderId="34" xfId="0" applyNumberFormat="1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 wrapText="1"/>
    </xf>
    <xf numFmtId="4" fontId="8" fillId="0" borderId="8" xfId="0" applyNumberFormat="1" applyFont="1" applyBorder="1" applyAlignment="1">
      <alignment horizontal="center" vertical="center" wrapText="1"/>
    </xf>
    <xf numFmtId="4" fontId="8" fillId="0" borderId="35" xfId="0" applyNumberFormat="1" applyFont="1" applyBorder="1" applyAlignment="1">
      <alignment horizontal="center" vertical="center" wrapText="1"/>
    </xf>
    <xf numFmtId="4" fontId="8" fillId="4" borderId="8" xfId="0" applyNumberFormat="1" applyFont="1" applyFill="1" applyBorder="1" applyAlignment="1">
      <alignment horizontal="center" vertical="center" wrapText="1"/>
    </xf>
    <xf numFmtId="4" fontId="5" fillId="0" borderId="8" xfId="0" applyNumberFormat="1" applyFont="1" applyBorder="1" applyAlignment="1">
      <alignment horizontal="center" vertical="center" wrapText="1"/>
    </xf>
    <xf numFmtId="4" fontId="8" fillId="0" borderId="36" xfId="0" applyNumberFormat="1" applyFont="1" applyBorder="1" applyAlignment="1">
      <alignment horizontal="center" vertical="center" wrapText="1"/>
    </xf>
    <xf numFmtId="4" fontId="6" fillId="0" borderId="8" xfId="0" applyNumberFormat="1" applyFont="1" applyBorder="1" applyAlignment="1">
      <alignment horizontal="center" vertical="center" wrapText="1"/>
    </xf>
    <xf numFmtId="4" fontId="10" fillId="6" borderId="36" xfId="0" applyNumberFormat="1" applyFont="1" applyFill="1" applyBorder="1" applyAlignment="1">
      <alignment horizontal="center" vertical="center" wrapText="1"/>
    </xf>
    <xf numFmtId="4" fontId="6" fillId="6" borderId="15" xfId="0" applyNumberFormat="1" applyFont="1" applyFill="1" applyBorder="1" applyAlignment="1">
      <alignment horizontal="center" vertical="center"/>
    </xf>
    <xf numFmtId="4" fontId="6" fillId="6" borderId="16" xfId="0" applyNumberFormat="1" applyFont="1" applyFill="1" applyBorder="1" applyAlignment="1">
      <alignment horizontal="center" vertical="center"/>
    </xf>
    <xf numFmtId="4" fontId="6" fillId="6" borderId="17" xfId="0" applyNumberFormat="1" applyFont="1" applyFill="1" applyBorder="1" applyAlignment="1">
      <alignment horizontal="center" vertical="center"/>
    </xf>
    <xf numFmtId="4" fontId="6" fillId="0" borderId="33" xfId="0" applyNumberFormat="1" applyFont="1" applyBorder="1" applyAlignment="1">
      <alignment horizontal="center" vertical="center"/>
    </xf>
    <xf numFmtId="4" fontId="5" fillId="4" borderId="6" xfId="0" applyNumberFormat="1" applyFont="1" applyFill="1" applyBorder="1" applyAlignment="1">
      <alignment horizontal="center" vertical="center" wrapText="1"/>
    </xf>
    <xf numFmtId="4" fontId="6" fillId="0" borderId="16" xfId="0" applyNumberFormat="1" applyFont="1" applyBorder="1" applyAlignment="1">
      <alignment horizontal="center" vertical="center" wrapText="1"/>
    </xf>
    <xf numFmtId="3" fontId="5" fillId="0" borderId="35" xfId="0" applyNumberFormat="1" applyFont="1" applyBorder="1" applyAlignment="1">
      <alignment horizontal="center" vertical="center" wrapText="1"/>
    </xf>
    <xf numFmtId="4" fontId="5" fillId="0" borderId="35" xfId="0" applyNumberFormat="1" applyFont="1" applyBorder="1" applyAlignment="1">
      <alignment horizontal="center" vertical="center" wrapText="1"/>
    </xf>
    <xf numFmtId="4" fontId="8" fillId="0" borderId="39" xfId="0" applyNumberFormat="1" applyFont="1" applyBorder="1" applyAlignment="1">
      <alignment horizontal="center" vertical="center" wrapText="1"/>
    </xf>
    <xf numFmtId="4" fontId="10" fillId="6" borderId="40" xfId="0" applyNumberFormat="1" applyFont="1" applyFill="1" applyBorder="1" applyAlignment="1">
      <alignment horizontal="center" vertical="center" wrapText="1"/>
    </xf>
    <xf numFmtId="3" fontId="5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41" xfId="0" applyNumberFormat="1" applyFont="1" applyBorder="1" applyAlignment="1">
      <alignment horizontal="center" vertical="center" wrapText="1"/>
    </xf>
    <xf numFmtId="3" fontId="6" fillId="0" borderId="42" xfId="0" applyNumberFormat="1" applyFont="1" applyBorder="1" applyAlignment="1">
      <alignment horizontal="center" vertical="center" wrapText="1"/>
    </xf>
    <xf numFmtId="4" fontId="10" fillId="5" borderId="41" xfId="0" applyNumberFormat="1" applyFont="1" applyFill="1" applyBorder="1" applyAlignment="1">
      <alignment horizontal="center" vertical="center" wrapText="1"/>
    </xf>
    <xf numFmtId="4" fontId="10" fillId="5" borderId="46" xfId="0" applyNumberFormat="1" applyFont="1" applyFill="1" applyBorder="1" applyAlignment="1">
      <alignment horizontal="center" vertical="center" wrapText="1"/>
    </xf>
    <xf numFmtId="4" fontId="5" fillId="5" borderId="42" xfId="0" applyNumberFormat="1" applyFont="1" applyFill="1" applyBorder="1" applyAlignment="1">
      <alignment horizontal="center" vertical="center"/>
    </xf>
    <xf numFmtId="4" fontId="5" fillId="5" borderId="41" xfId="0" applyNumberFormat="1" applyFont="1" applyFill="1" applyBorder="1" applyAlignment="1">
      <alignment horizontal="center" vertical="center"/>
    </xf>
    <xf numFmtId="4" fontId="5" fillId="5" borderId="46" xfId="0" applyNumberFormat="1" applyFont="1" applyFill="1" applyBorder="1" applyAlignment="1">
      <alignment horizontal="center" vertical="center"/>
    </xf>
    <xf numFmtId="4" fontId="5" fillId="0" borderId="13" xfId="0" applyNumberFormat="1" applyFont="1" applyBorder="1" applyAlignment="1">
      <alignment horizontal="center" vertical="center"/>
    </xf>
    <xf numFmtId="4" fontId="5" fillId="0" borderId="14" xfId="0" applyNumberFormat="1" applyFont="1" applyBorder="1" applyAlignment="1">
      <alignment horizontal="center" vertical="center"/>
    </xf>
    <xf numFmtId="9" fontId="5" fillId="0" borderId="6" xfId="0" applyNumberFormat="1" applyFont="1" applyBorder="1" applyAlignment="1">
      <alignment horizontal="center" vertical="center"/>
    </xf>
    <xf numFmtId="9" fontId="5" fillId="0" borderId="16" xfId="0" applyNumberFormat="1" applyFont="1" applyBorder="1" applyAlignment="1">
      <alignment horizontal="center" vertical="center"/>
    </xf>
    <xf numFmtId="4" fontId="5" fillId="0" borderId="48" xfId="0" applyNumberFormat="1" applyFont="1" applyBorder="1" applyAlignment="1">
      <alignment horizontal="center" vertical="center"/>
    </xf>
    <xf numFmtId="9" fontId="5" fillId="0" borderId="4" xfId="0" applyNumberFormat="1" applyFont="1" applyBorder="1" applyAlignment="1">
      <alignment horizontal="center" vertical="center"/>
    </xf>
    <xf numFmtId="4" fontId="5" fillId="0" borderId="15" xfId="0" applyNumberFormat="1" applyFont="1" applyBorder="1" applyAlignment="1">
      <alignment horizontal="center" vertical="center"/>
    </xf>
    <xf numFmtId="4" fontId="5" fillId="0" borderId="17" xfId="0" applyNumberFormat="1" applyFont="1" applyBorder="1" applyAlignment="1">
      <alignment horizontal="center" vertical="center"/>
    </xf>
    <xf numFmtId="4" fontId="5" fillId="0" borderId="7" xfId="0" applyNumberFormat="1" applyFont="1" applyBorder="1" applyAlignment="1">
      <alignment horizontal="center" vertical="center"/>
    </xf>
    <xf numFmtId="4" fontId="6" fillId="0" borderId="47" xfId="0" applyNumberFormat="1" applyFont="1" applyBorder="1" applyAlignment="1">
      <alignment horizontal="center" vertical="center"/>
    </xf>
    <xf numFmtId="4" fontId="5" fillId="0" borderId="21" xfId="0" applyNumberFormat="1" applyFont="1" applyBorder="1" applyAlignment="1">
      <alignment horizontal="center" vertical="center"/>
    </xf>
    <xf numFmtId="4" fontId="5" fillId="0" borderId="23" xfId="0" applyNumberFormat="1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4" fontId="6" fillId="6" borderId="40" xfId="0" applyNumberFormat="1" applyFont="1" applyFill="1" applyBorder="1" applyAlignment="1">
      <alignment horizontal="center" vertical="center"/>
    </xf>
    <xf numFmtId="4" fontId="5" fillId="0" borderId="50" xfId="0" applyNumberFormat="1" applyFont="1" applyBorder="1" applyAlignment="1">
      <alignment horizontal="center" vertical="center"/>
    </xf>
    <xf numFmtId="4" fontId="5" fillId="0" borderId="5" xfId="0" applyNumberFormat="1" applyFont="1" applyBorder="1" applyAlignment="1">
      <alignment horizontal="center" vertical="center"/>
    </xf>
    <xf numFmtId="4" fontId="6" fillId="6" borderId="51" xfId="0" applyNumberFormat="1" applyFont="1" applyFill="1" applyBorder="1" applyAlignment="1">
      <alignment horizontal="center" vertical="center"/>
    </xf>
    <xf numFmtId="4" fontId="6" fillId="6" borderId="35" xfId="0" applyNumberFormat="1" applyFont="1" applyFill="1" applyBorder="1" applyAlignment="1">
      <alignment horizontal="center" vertical="center"/>
    </xf>
    <xf numFmtId="4" fontId="6" fillId="6" borderId="52" xfId="0" applyNumberFormat="1" applyFont="1" applyFill="1" applyBorder="1" applyAlignment="1">
      <alignment horizontal="center" vertical="center"/>
    </xf>
    <xf numFmtId="4" fontId="6" fillId="6" borderId="25" xfId="0" applyNumberFormat="1" applyFont="1" applyFill="1" applyBorder="1" applyAlignment="1">
      <alignment horizontal="center" vertical="center"/>
    </xf>
    <xf numFmtId="4" fontId="6" fillId="6" borderId="8" xfId="0" applyNumberFormat="1" applyFont="1" applyFill="1" applyBorder="1" applyAlignment="1">
      <alignment horizontal="center" vertical="center"/>
    </xf>
    <xf numFmtId="4" fontId="6" fillId="6" borderId="24" xfId="0" applyNumberFormat="1" applyFont="1" applyFill="1" applyBorder="1" applyAlignment="1">
      <alignment horizontal="center" vertical="center"/>
    </xf>
    <xf numFmtId="4" fontId="6" fillId="6" borderId="36" xfId="0" applyNumberFormat="1" applyFont="1" applyFill="1" applyBorder="1" applyAlignment="1">
      <alignment horizontal="center" vertical="center"/>
    </xf>
    <xf numFmtId="4" fontId="5" fillId="4" borderId="8" xfId="0" applyNumberFormat="1" applyFont="1" applyFill="1" applyBorder="1" applyAlignment="1">
      <alignment horizontal="center" vertical="center" wrapText="1"/>
    </xf>
    <xf numFmtId="4" fontId="10" fillId="6" borderId="24" xfId="0" applyNumberFormat="1" applyFont="1" applyFill="1" applyBorder="1" applyAlignment="1">
      <alignment horizontal="center" vertical="center" wrapText="1"/>
    </xf>
    <xf numFmtId="4" fontId="6" fillId="7" borderId="10" xfId="0" applyNumberFormat="1" applyFont="1" applyFill="1" applyBorder="1" applyAlignment="1">
      <alignment horizontal="center" vertical="center"/>
    </xf>
    <xf numFmtId="4" fontId="6" fillId="7" borderId="3" xfId="0" applyNumberFormat="1" applyFont="1" applyFill="1" applyBorder="1" applyAlignment="1">
      <alignment horizontal="center" vertical="center"/>
    </xf>
    <xf numFmtId="4" fontId="5" fillId="7" borderId="13" xfId="0" applyNumberFormat="1" applyFont="1" applyFill="1" applyBorder="1" applyAlignment="1">
      <alignment horizontal="center" vertical="center"/>
    </xf>
    <xf numFmtId="4" fontId="5" fillId="7" borderId="14" xfId="0" applyNumberFormat="1" applyFont="1" applyFill="1" applyBorder="1" applyAlignment="1">
      <alignment horizontal="center" vertical="center"/>
    </xf>
    <xf numFmtId="4" fontId="6" fillId="0" borderId="15" xfId="0" applyNumberFormat="1" applyFont="1" applyBorder="1" applyAlignment="1">
      <alignment horizontal="center" vertical="center"/>
    </xf>
    <xf numFmtId="4" fontId="6" fillId="0" borderId="17" xfId="0" applyNumberFormat="1" applyFont="1" applyBorder="1" applyAlignment="1">
      <alignment horizontal="center" vertical="center"/>
    </xf>
    <xf numFmtId="4" fontId="5" fillId="7" borderId="48" xfId="0" applyNumberFormat="1" applyFont="1" applyFill="1" applyBorder="1" applyAlignment="1">
      <alignment horizontal="center" vertical="center"/>
    </xf>
    <xf numFmtId="4" fontId="5" fillId="4" borderId="48" xfId="0" applyNumberFormat="1" applyFont="1" applyFill="1" applyBorder="1" applyAlignment="1">
      <alignment horizontal="center" vertical="center"/>
    </xf>
    <xf numFmtId="4" fontId="6" fillId="0" borderId="38" xfId="0" applyNumberFormat="1" applyFont="1" applyBorder="1" applyAlignment="1">
      <alignment horizontal="center" vertical="center"/>
    </xf>
    <xf numFmtId="4" fontId="5" fillId="0" borderId="55" xfId="0" applyNumberFormat="1" applyFont="1" applyBorder="1" applyAlignment="1">
      <alignment horizontal="center" vertical="center"/>
    </xf>
    <xf numFmtId="4" fontId="6" fillId="0" borderId="25" xfId="0" applyNumberFormat="1" applyFont="1" applyBorder="1" applyAlignment="1">
      <alignment horizontal="center" vertical="center"/>
    </xf>
    <xf numFmtId="4" fontId="6" fillId="0" borderId="24" xfId="0" applyNumberFormat="1" applyFont="1" applyBorder="1" applyAlignment="1">
      <alignment horizontal="center" vertical="center"/>
    </xf>
    <xf numFmtId="4" fontId="6" fillId="7" borderId="1" xfId="0" applyNumberFormat="1" applyFont="1" applyFill="1" applyBorder="1" applyAlignment="1">
      <alignment horizontal="center" vertical="center"/>
    </xf>
    <xf numFmtId="4" fontId="5" fillId="7" borderId="7" xfId="0" applyNumberFormat="1" applyFont="1" applyFill="1" applyBorder="1" applyAlignment="1">
      <alignment horizontal="center" vertical="center"/>
    </xf>
    <xf numFmtId="4" fontId="5" fillId="4" borderId="7" xfId="0" applyNumberFormat="1" applyFont="1" applyFill="1" applyBorder="1" applyAlignment="1">
      <alignment horizontal="center" vertical="center"/>
    </xf>
    <xf numFmtId="4" fontId="6" fillId="0" borderId="40" xfId="0" applyNumberFormat="1" applyFont="1" applyBorder="1" applyAlignment="1">
      <alignment horizontal="center" vertical="center"/>
    </xf>
    <xf numFmtId="0" fontId="3" fillId="6" borderId="17" xfId="0" applyFont="1" applyFill="1" applyBorder="1" applyAlignment="1">
      <alignment horizontal="center"/>
    </xf>
    <xf numFmtId="4" fontId="6" fillId="6" borderId="56" xfId="0" applyNumberFormat="1" applyFont="1" applyFill="1" applyBorder="1" applyAlignment="1">
      <alignment horizontal="center" vertical="center" wrapText="1"/>
    </xf>
    <xf numFmtId="4" fontId="3" fillId="6" borderId="40" xfId="0" applyNumberFormat="1" applyFont="1" applyFill="1" applyBorder="1" applyAlignment="1">
      <alignment horizontal="center" vertical="center" wrapText="1"/>
    </xf>
    <xf numFmtId="4" fontId="6" fillId="6" borderId="54" xfId="0" applyNumberFormat="1" applyFont="1" applyFill="1" applyBorder="1" applyAlignment="1">
      <alignment horizontal="center" vertical="center" wrapText="1"/>
    </xf>
    <xf numFmtId="0" fontId="3" fillId="6" borderId="38" xfId="0" applyFont="1" applyFill="1" applyBorder="1" applyAlignment="1">
      <alignment horizontal="center"/>
    </xf>
    <xf numFmtId="0" fontId="3" fillId="6" borderId="40" xfId="0" applyFont="1" applyFill="1" applyBorder="1" applyAlignment="1">
      <alignment horizontal="center"/>
    </xf>
    <xf numFmtId="4" fontId="5" fillId="7" borderId="21" xfId="0" applyNumberFormat="1" applyFont="1" applyFill="1" applyBorder="1" applyAlignment="1">
      <alignment horizontal="center" vertical="center"/>
    </xf>
    <xf numFmtId="4" fontId="5" fillId="7" borderId="23" xfId="0" applyNumberFormat="1" applyFont="1" applyFill="1" applyBorder="1" applyAlignment="1">
      <alignment horizontal="center" vertical="center"/>
    </xf>
    <xf numFmtId="4" fontId="5" fillId="7" borderId="50" xfId="0" applyNumberFormat="1" applyFont="1" applyFill="1" applyBorder="1" applyAlignment="1">
      <alignment horizontal="center" vertical="center"/>
    </xf>
    <xf numFmtId="4" fontId="5" fillId="7" borderId="5" xfId="0" applyNumberFormat="1" applyFont="1" applyFill="1" applyBorder="1" applyAlignment="1">
      <alignment horizontal="center" vertical="center"/>
    </xf>
    <xf numFmtId="4" fontId="6" fillId="0" borderId="49" xfId="0" applyNumberFormat="1" applyFont="1" applyBorder="1" applyAlignment="1">
      <alignment horizontal="center" vertical="center"/>
    </xf>
    <xf numFmtId="4" fontId="6" fillId="0" borderId="37" xfId="0" applyNumberFormat="1" applyFont="1" applyBorder="1" applyAlignment="1">
      <alignment horizontal="center" vertical="center"/>
    </xf>
    <xf numFmtId="4" fontId="6" fillId="0" borderId="36" xfId="0" applyNumberFormat="1" applyFont="1" applyBorder="1" applyAlignment="1">
      <alignment horizontal="center" vertical="center"/>
    </xf>
    <xf numFmtId="0" fontId="5" fillId="0" borderId="0" xfId="0" applyFont="1"/>
    <xf numFmtId="4" fontId="6" fillId="3" borderId="30" xfId="0" applyNumberFormat="1" applyFont="1" applyFill="1" applyBorder="1" applyAlignment="1">
      <alignment horizontal="center" vertical="center" wrapText="1"/>
    </xf>
    <xf numFmtId="4" fontId="6" fillId="3" borderId="56" xfId="0" applyNumberFormat="1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/>
    </xf>
    <xf numFmtId="0" fontId="6" fillId="3" borderId="40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center"/>
    </xf>
    <xf numFmtId="4" fontId="5" fillId="3" borderId="30" xfId="0" applyNumberFormat="1" applyFont="1" applyFill="1" applyBorder="1" applyAlignment="1">
      <alignment horizontal="center" vertical="center"/>
    </xf>
    <xf numFmtId="4" fontId="5" fillId="3" borderId="32" xfId="0" applyNumberFormat="1" applyFont="1" applyFill="1" applyBorder="1" applyAlignment="1">
      <alignment horizontal="center" vertical="center"/>
    </xf>
    <xf numFmtId="4" fontId="5" fillId="3" borderId="13" xfId="0" applyNumberFormat="1" applyFont="1" applyFill="1" applyBorder="1" applyAlignment="1">
      <alignment horizontal="center" vertical="center"/>
    </xf>
    <xf numFmtId="4" fontId="5" fillId="3" borderId="14" xfId="0" applyNumberFormat="1" applyFont="1" applyFill="1" applyBorder="1" applyAlignment="1">
      <alignment horizontal="center" vertical="center"/>
    </xf>
    <xf numFmtId="4" fontId="6" fillId="3" borderId="15" xfId="0" applyNumberFormat="1" applyFont="1" applyFill="1" applyBorder="1" applyAlignment="1">
      <alignment horizontal="center" vertical="center"/>
    </xf>
    <xf numFmtId="4" fontId="6" fillId="3" borderId="17" xfId="0" applyNumberFormat="1" applyFont="1" applyFill="1" applyBorder="1" applyAlignment="1">
      <alignment horizontal="center" vertical="center"/>
    </xf>
    <xf numFmtId="4" fontId="5" fillId="3" borderId="21" xfId="0" applyNumberFormat="1" applyFont="1" applyFill="1" applyBorder="1" applyAlignment="1">
      <alignment horizontal="center" vertical="center"/>
    </xf>
    <xf numFmtId="4" fontId="5" fillId="3" borderId="5" xfId="0" applyNumberFormat="1" applyFont="1" applyFill="1" applyBorder="1" applyAlignment="1">
      <alignment horizontal="center" vertical="center"/>
    </xf>
    <xf numFmtId="4" fontId="5" fillId="3" borderId="7" xfId="0" applyNumberFormat="1" applyFont="1" applyFill="1" applyBorder="1" applyAlignment="1">
      <alignment horizontal="center" vertical="center"/>
    </xf>
    <xf numFmtId="4" fontId="6" fillId="3" borderId="25" xfId="0" applyNumberFormat="1" applyFont="1" applyFill="1" applyBorder="1" applyAlignment="1">
      <alignment horizontal="center" vertical="center"/>
    </xf>
    <xf numFmtId="4" fontId="6" fillId="3" borderId="36" xfId="0" applyNumberFormat="1" applyFont="1" applyFill="1" applyBorder="1" applyAlignment="1">
      <alignment horizontal="center" vertical="center"/>
    </xf>
    <xf numFmtId="4" fontId="6" fillId="3" borderId="40" xfId="0" applyNumberFormat="1" applyFont="1" applyFill="1" applyBorder="1" applyAlignment="1">
      <alignment horizontal="center" vertical="center"/>
    </xf>
    <xf numFmtId="4" fontId="6" fillId="8" borderId="1" xfId="0" applyNumberFormat="1" applyFont="1" applyFill="1" applyBorder="1" applyAlignment="1">
      <alignment horizontal="center" vertical="center"/>
    </xf>
    <xf numFmtId="4" fontId="6" fillId="8" borderId="59" xfId="0" applyNumberFormat="1" applyFont="1" applyFill="1" applyBorder="1" applyAlignment="1">
      <alignment horizontal="center" vertical="center"/>
    </xf>
    <xf numFmtId="4" fontId="6" fillId="8" borderId="3" xfId="0" applyNumberFormat="1" applyFont="1" applyFill="1" applyBorder="1" applyAlignment="1">
      <alignment horizontal="center" vertical="center"/>
    </xf>
    <xf numFmtId="4" fontId="5" fillId="4" borderId="30" xfId="0" applyNumberFormat="1" applyFont="1" applyFill="1" applyBorder="1" applyAlignment="1">
      <alignment horizontal="center" vertical="center"/>
    </xf>
    <xf numFmtId="4" fontId="5" fillId="4" borderId="32" xfId="0" applyNumberFormat="1" applyFont="1" applyFill="1" applyBorder="1" applyAlignment="1">
      <alignment horizontal="center" vertical="center"/>
    </xf>
    <xf numFmtId="4" fontId="5" fillId="4" borderId="13" xfId="0" applyNumberFormat="1" applyFont="1" applyFill="1" applyBorder="1" applyAlignment="1">
      <alignment horizontal="center" vertical="center"/>
    </xf>
    <xf numFmtId="4" fontId="5" fillId="4" borderId="14" xfId="0" applyNumberFormat="1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/>
    </xf>
    <xf numFmtId="0" fontId="4" fillId="0" borderId="26" xfId="0" applyFont="1" applyBorder="1"/>
    <xf numFmtId="0" fontId="0" fillId="0" borderId="6" xfId="0" applyBorder="1" applyAlignment="1">
      <alignment horizontal="right"/>
    </xf>
    <xf numFmtId="0" fontId="5" fillId="0" borderId="6" xfId="0" applyFont="1" applyBorder="1"/>
    <xf numFmtId="0" fontId="10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wrapText="1"/>
    </xf>
    <xf numFmtId="0" fontId="5" fillId="4" borderId="50" xfId="0" applyFont="1" applyFill="1" applyBorder="1" applyAlignment="1">
      <alignment wrapText="1"/>
    </xf>
    <xf numFmtId="14" fontId="8" fillId="0" borderId="6" xfId="0" applyNumberFormat="1" applyFont="1" applyBorder="1" applyAlignment="1">
      <alignment horizontal="right" wrapText="1"/>
    </xf>
    <xf numFmtId="0" fontId="8" fillId="0" borderId="6" xfId="0" applyFont="1" applyBorder="1" applyAlignment="1">
      <alignment horizontal="left" wrapText="1"/>
    </xf>
    <xf numFmtId="0" fontId="8" fillId="0" borderId="6" xfId="0" applyFont="1" applyBorder="1" applyAlignment="1">
      <alignment wrapText="1"/>
    </xf>
    <xf numFmtId="4" fontId="8" fillId="0" borderId="6" xfId="0" applyNumberFormat="1" applyFont="1" applyBorder="1" applyAlignment="1">
      <alignment wrapText="1"/>
    </xf>
    <xf numFmtId="0" fontId="8" fillId="0" borderId="48" xfId="0" applyFont="1" applyBorder="1" applyAlignment="1">
      <alignment wrapText="1"/>
    </xf>
    <xf numFmtId="0" fontId="8" fillId="0" borderId="6" xfId="0" applyFont="1" applyBorder="1" applyAlignment="1">
      <alignment horizontal="right" wrapText="1"/>
    </xf>
    <xf numFmtId="0" fontId="13" fillId="0" borderId="6" xfId="0" applyFont="1" applyBorder="1" applyAlignment="1">
      <alignment wrapText="1"/>
    </xf>
    <xf numFmtId="0" fontId="8" fillId="4" borderId="6" xfId="0" applyFont="1" applyFill="1" applyBorder="1" applyAlignment="1">
      <alignment wrapText="1"/>
    </xf>
    <xf numFmtId="14" fontId="5" fillId="0" borderId="6" xfId="0" applyNumberFormat="1" applyFont="1" applyBorder="1" applyAlignment="1">
      <alignment horizontal="right" wrapText="1"/>
    </xf>
    <xf numFmtId="0" fontId="5" fillId="0" borderId="48" xfId="0" applyFont="1" applyBorder="1" applyAlignment="1">
      <alignment horizontal="left" wrapText="1"/>
    </xf>
    <xf numFmtId="0" fontId="5" fillId="0" borderId="6" xfId="0" applyFont="1" applyBorder="1" applyAlignment="1">
      <alignment wrapText="1"/>
    </xf>
    <xf numFmtId="4" fontId="8" fillId="0" borderId="6" xfId="0" applyNumberFormat="1" applyFont="1" applyBorder="1" applyAlignment="1">
      <alignment horizontal="left" wrapText="1"/>
    </xf>
    <xf numFmtId="14" fontId="8" fillId="4" borderId="6" xfId="0" applyNumberFormat="1" applyFont="1" applyFill="1" applyBorder="1" applyAlignment="1">
      <alignment horizontal="right" vertical="center" wrapText="1"/>
    </xf>
    <xf numFmtId="0" fontId="5" fillId="0" borderId="6" xfId="0" applyFont="1" applyBorder="1" applyAlignment="1">
      <alignment horizontal="left" wrapText="1"/>
    </xf>
    <xf numFmtId="0" fontId="8" fillId="4" borderId="6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>
      <alignment horizontal="right" vertical="center" wrapText="1"/>
    </xf>
    <xf numFmtId="14" fontId="5" fillId="0" borderId="6" xfId="0" applyNumberFormat="1" applyFont="1" applyBorder="1" applyAlignment="1">
      <alignment horizontal="right"/>
    </xf>
    <xf numFmtId="0" fontId="8" fillId="4" borderId="50" xfId="0" applyFont="1" applyFill="1" applyBorder="1" applyAlignment="1">
      <alignment horizontal="left" wrapText="1"/>
    </xf>
    <xf numFmtId="0" fontId="5" fillId="0" borderId="6" xfId="0" applyFont="1" applyBorder="1" applyAlignment="1">
      <alignment horizontal="left"/>
    </xf>
    <xf numFmtId="14" fontId="5" fillId="0" borderId="6" xfId="0" applyNumberFormat="1" applyFont="1" applyBorder="1"/>
    <xf numFmtId="0" fontId="5" fillId="0" borderId="6" xfId="0" applyFont="1" applyBorder="1" applyAlignment="1">
      <alignment horizontal="right"/>
    </xf>
    <xf numFmtId="0" fontId="8" fillId="4" borderId="6" xfId="0" applyFont="1" applyFill="1" applyBorder="1" applyAlignment="1">
      <alignment horizontal="left"/>
    </xf>
    <xf numFmtId="4" fontId="5" fillId="0" borderId="6" xfId="0" applyNumberFormat="1" applyFont="1" applyBorder="1"/>
    <xf numFmtId="14" fontId="0" fillId="0" borderId="6" xfId="0" applyNumberFormat="1" applyBorder="1" applyAlignment="1">
      <alignment horizontal="right"/>
    </xf>
    <xf numFmtId="14" fontId="0" fillId="0" borderId="6" xfId="0" applyNumberFormat="1" applyBorder="1"/>
    <xf numFmtId="0" fontId="0" fillId="0" borderId="8" xfId="0" applyBorder="1"/>
    <xf numFmtId="0" fontId="8" fillId="0" borderId="8" xfId="0" applyFont="1" applyBorder="1" applyAlignment="1">
      <alignment wrapText="1"/>
    </xf>
    <xf numFmtId="4" fontId="6" fillId="0" borderId="58" xfId="0" applyNumberFormat="1" applyFont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 wrapText="1"/>
    </xf>
    <xf numFmtId="4" fontId="10" fillId="6" borderId="6" xfId="0" applyNumberFormat="1" applyFont="1" applyFill="1" applyBorder="1" applyAlignment="1">
      <alignment horizontal="center" vertical="center" wrapText="1"/>
    </xf>
    <xf numFmtId="4" fontId="6" fillId="6" borderId="6" xfId="0" applyNumberFormat="1" applyFont="1" applyFill="1" applyBorder="1" applyAlignment="1">
      <alignment horizontal="center" vertical="center"/>
    </xf>
    <xf numFmtId="4" fontId="5" fillId="4" borderId="25" xfId="0" applyNumberFormat="1" applyFont="1" applyFill="1" applyBorder="1" applyAlignment="1">
      <alignment horizontal="center" vertical="center"/>
    </xf>
    <xf numFmtId="4" fontId="5" fillId="4" borderId="24" xfId="0" applyNumberFormat="1" applyFont="1" applyFill="1" applyBorder="1" applyAlignment="1">
      <alignment horizontal="center" vertical="center"/>
    </xf>
    <xf numFmtId="4" fontId="6" fillId="0" borderId="4" xfId="0" applyNumberFormat="1" applyFont="1" applyBorder="1" applyAlignment="1">
      <alignment horizontal="center" vertical="center" wrapText="1"/>
    </xf>
    <xf numFmtId="4" fontId="5" fillId="0" borderId="30" xfId="0" applyNumberFormat="1" applyFont="1" applyBorder="1" applyAlignment="1">
      <alignment horizontal="center" vertical="center"/>
    </xf>
    <xf numFmtId="9" fontId="5" fillId="0" borderId="31" xfId="0" applyNumberFormat="1" applyFont="1" applyBorder="1" applyAlignment="1">
      <alignment horizontal="center" vertical="center"/>
    </xf>
    <xf numFmtId="4" fontId="5" fillId="0" borderId="32" xfId="0" applyNumberFormat="1" applyFont="1" applyBorder="1" applyAlignment="1">
      <alignment horizontal="center" vertical="center"/>
    </xf>
    <xf numFmtId="4" fontId="8" fillId="0" borderId="50" xfId="0" applyNumberFormat="1" applyFont="1" applyBorder="1" applyAlignment="1">
      <alignment horizontal="center" vertical="center" wrapText="1"/>
    </xf>
    <xf numFmtId="4" fontId="8" fillId="4" borderId="7" xfId="0" applyNumberFormat="1" applyFont="1" applyFill="1" applyBorder="1" applyAlignment="1">
      <alignment horizontal="center" vertical="center" wrapText="1"/>
    </xf>
    <xf numFmtId="4" fontId="8" fillId="4" borderId="36" xfId="0" applyNumberFormat="1" applyFont="1" applyFill="1" applyBorder="1" applyAlignment="1">
      <alignment horizontal="center" vertical="center" wrapText="1"/>
    </xf>
    <xf numFmtId="4" fontId="8" fillId="0" borderId="30" xfId="0" applyNumberFormat="1" applyFont="1" applyBorder="1" applyAlignment="1">
      <alignment horizontal="center" vertical="center" wrapText="1"/>
    </xf>
    <xf numFmtId="4" fontId="8" fillId="0" borderId="31" xfId="0" applyNumberFormat="1" applyFont="1" applyBorder="1" applyAlignment="1">
      <alignment horizontal="center" vertical="center" wrapText="1"/>
    </xf>
    <xf numFmtId="4" fontId="8" fillId="0" borderId="21" xfId="0" applyNumberFormat="1" applyFont="1" applyBorder="1" applyAlignment="1">
      <alignment horizontal="center" vertical="center" wrapText="1"/>
    </xf>
    <xf numFmtId="4" fontId="8" fillId="0" borderId="42" xfId="0" applyNumberFormat="1" applyFont="1" applyBorder="1" applyAlignment="1">
      <alignment horizontal="center" vertical="center" wrapText="1"/>
    </xf>
    <xf numFmtId="4" fontId="5" fillId="0" borderId="16" xfId="0" applyNumberFormat="1" applyFont="1" applyBorder="1" applyAlignment="1">
      <alignment horizontal="center" vertical="center" wrapText="1"/>
    </xf>
    <xf numFmtId="3" fontId="6" fillId="0" borderId="35" xfId="0" applyNumberFormat="1" applyFont="1" applyBorder="1" applyAlignment="1">
      <alignment horizontal="center" vertical="center" wrapText="1"/>
    </xf>
    <xf numFmtId="4" fontId="8" fillId="0" borderId="56" xfId="0" applyNumberFormat="1" applyFont="1" applyBorder="1" applyAlignment="1">
      <alignment horizontal="center" vertical="center" wrapText="1"/>
    </xf>
    <xf numFmtId="4" fontId="8" fillId="0" borderId="40" xfId="0" applyNumberFormat="1" applyFont="1" applyBorder="1" applyAlignment="1">
      <alignment horizontal="center" vertical="center" wrapText="1"/>
    </xf>
    <xf numFmtId="9" fontId="5" fillId="0" borderId="35" xfId="0" applyNumberFormat="1" applyFont="1" applyBorder="1" applyAlignment="1">
      <alignment horizontal="center" vertical="center" wrapText="1"/>
    </xf>
    <xf numFmtId="4" fontId="5" fillId="0" borderId="39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/>
    </xf>
    <xf numFmtId="4" fontId="5" fillId="0" borderId="27" xfId="0" applyNumberFormat="1" applyFont="1" applyBorder="1" applyAlignment="1">
      <alignment horizontal="center" vertical="center" wrapText="1"/>
    </xf>
    <xf numFmtId="4" fontId="5" fillId="0" borderId="28" xfId="0" applyNumberFormat="1" applyFont="1" applyBorder="1" applyAlignment="1">
      <alignment horizontal="center" vertical="center" wrapText="1"/>
    </xf>
    <xf numFmtId="4" fontId="5" fillId="0" borderId="29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4" fontId="6" fillId="0" borderId="2" xfId="0" applyNumberFormat="1" applyFont="1" applyBorder="1" applyAlignment="1">
      <alignment horizontal="center" vertical="center"/>
    </xf>
    <xf numFmtId="4" fontId="6" fillId="0" borderId="3" xfId="0" applyNumberFormat="1" applyFont="1" applyBorder="1" applyAlignment="1">
      <alignment horizontal="center" vertical="center"/>
    </xf>
    <xf numFmtId="4" fontId="5" fillId="0" borderId="25" xfId="0" applyNumberFormat="1" applyFont="1" applyBorder="1" applyAlignment="1">
      <alignment horizontal="center" vertical="center"/>
    </xf>
    <xf numFmtId="4" fontId="5" fillId="0" borderId="24" xfId="0" applyNumberFormat="1" applyFont="1" applyBorder="1" applyAlignment="1">
      <alignment horizontal="center" vertical="center"/>
    </xf>
    <xf numFmtId="4" fontId="6" fillId="7" borderId="42" xfId="0" applyNumberFormat="1" applyFont="1" applyFill="1" applyBorder="1" applyAlignment="1">
      <alignment horizontal="center"/>
    </xf>
    <xf numFmtId="4" fontId="6" fillId="7" borderId="41" xfId="0" applyNumberFormat="1" applyFont="1" applyFill="1" applyBorder="1" applyAlignment="1">
      <alignment horizontal="center"/>
    </xf>
    <xf numFmtId="4" fontId="6" fillId="7" borderId="46" xfId="0" applyNumberFormat="1" applyFont="1" applyFill="1" applyBorder="1" applyAlignment="1">
      <alignment horizontal="center"/>
    </xf>
    <xf numFmtId="3" fontId="5" fillId="0" borderId="25" xfId="0" applyNumberFormat="1" applyFont="1" applyBorder="1" applyAlignment="1">
      <alignment horizontal="center" vertical="center" wrapText="1"/>
    </xf>
    <xf numFmtId="4" fontId="5" fillId="0" borderId="0" xfId="0" applyNumberFormat="1" applyFont="1"/>
    <xf numFmtId="4" fontId="6" fillId="0" borderId="0" xfId="0" applyNumberFormat="1" applyFont="1"/>
    <xf numFmtId="4" fontId="6" fillId="7" borderId="10" xfId="0" applyNumberFormat="1" applyFont="1" applyFill="1" applyBorder="1"/>
    <xf numFmtId="4" fontId="6" fillId="7" borderId="11" xfId="0" applyNumberFormat="1" applyFont="1" applyFill="1" applyBorder="1"/>
    <xf numFmtId="4" fontId="6" fillId="7" borderId="12" xfId="0" applyNumberFormat="1" applyFont="1" applyFill="1" applyBorder="1"/>
    <xf numFmtId="0" fontId="14" fillId="0" borderId="0" xfId="0" applyFont="1"/>
    <xf numFmtId="3" fontId="4" fillId="6" borderId="27" xfId="0" applyNumberFormat="1" applyFont="1" applyFill="1" applyBorder="1" applyAlignment="1">
      <alignment horizontal="center" vertical="center" wrapText="1"/>
    </xf>
    <xf numFmtId="4" fontId="4" fillId="6" borderId="28" xfId="0" applyNumberFormat="1" applyFont="1" applyFill="1" applyBorder="1" applyAlignment="1">
      <alignment horizontal="center" vertical="center" wrapText="1"/>
    </xf>
    <xf numFmtId="4" fontId="4" fillId="6" borderId="29" xfId="0" applyNumberFormat="1" applyFont="1" applyFill="1" applyBorder="1" applyAlignment="1">
      <alignment horizontal="center" vertical="center" wrapText="1"/>
    </xf>
    <xf numFmtId="3" fontId="16" fillId="6" borderId="15" xfId="0" applyNumberFormat="1" applyFont="1" applyFill="1" applyBorder="1" applyAlignment="1">
      <alignment horizontal="center" vertical="center" wrapText="1"/>
    </xf>
    <xf numFmtId="4" fontId="16" fillId="6" borderId="16" xfId="0" applyNumberFormat="1" applyFont="1" applyFill="1" applyBorder="1" applyAlignment="1">
      <alignment horizontal="center" vertical="center" wrapText="1"/>
    </xf>
    <xf numFmtId="4" fontId="16" fillId="6" borderId="17" xfId="0" applyNumberFormat="1" applyFont="1" applyFill="1" applyBorder="1" applyAlignment="1">
      <alignment horizontal="center" vertical="center" wrapText="1"/>
    </xf>
    <xf numFmtId="3" fontId="0" fillId="0" borderId="13" xfId="0" applyNumberFormat="1" applyBorder="1" applyAlignment="1">
      <alignment horizontal="center" vertical="center" wrapText="1"/>
    </xf>
    <xf numFmtId="0" fontId="17" fillId="4" borderId="6" xfId="0" applyFont="1" applyFill="1" applyBorder="1" applyAlignment="1">
      <alignment horizontal="center" vertical="center" wrapText="1"/>
    </xf>
    <xf numFmtId="4" fontId="17" fillId="4" borderId="6" xfId="0" applyNumberFormat="1" applyFont="1" applyFill="1" applyBorder="1" applyAlignment="1">
      <alignment horizontal="center" vertical="center" wrapText="1"/>
    </xf>
    <xf numFmtId="4" fontId="17" fillId="0" borderId="6" xfId="0" applyNumberFormat="1" applyFont="1" applyBorder="1" applyAlignment="1">
      <alignment horizontal="center" vertical="center" wrapText="1"/>
    </xf>
    <xf numFmtId="14" fontId="17" fillId="4" borderId="14" xfId="0" applyNumberFormat="1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4" fontId="19" fillId="0" borderId="42" xfId="0" applyNumberFormat="1" applyFont="1" applyBorder="1" applyAlignment="1">
      <alignment horizontal="center" vertical="center" wrapText="1"/>
    </xf>
    <xf numFmtId="4" fontId="15" fillId="0" borderId="46" xfId="0" applyNumberFormat="1" applyFont="1" applyBorder="1" applyAlignment="1">
      <alignment horizontal="center" vertical="center" wrapText="1"/>
    </xf>
    <xf numFmtId="4" fontId="19" fillId="6" borderId="58" xfId="0" applyNumberFormat="1" applyFont="1" applyFill="1" applyBorder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" fontId="7" fillId="6" borderId="10" xfId="0" applyNumberFormat="1" applyFont="1" applyFill="1" applyBorder="1" applyAlignment="1">
      <alignment horizontal="center" vertical="center"/>
    </xf>
    <xf numFmtId="4" fontId="7" fillId="6" borderId="11" xfId="0" applyNumberFormat="1" applyFont="1" applyFill="1" applyBorder="1" applyAlignment="1">
      <alignment horizontal="center" vertical="center"/>
    </xf>
    <xf numFmtId="4" fontId="7" fillId="6" borderId="12" xfId="0" applyNumberFormat="1" applyFont="1" applyFill="1" applyBorder="1" applyAlignment="1">
      <alignment horizontal="center" vertical="center"/>
    </xf>
    <xf numFmtId="4" fontId="6" fillId="5" borderId="43" xfId="0" applyNumberFormat="1" applyFont="1" applyFill="1" applyBorder="1" applyAlignment="1">
      <alignment horizontal="right" vertical="center"/>
    </xf>
    <xf numFmtId="4" fontId="6" fillId="5" borderId="44" xfId="0" applyNumberFormat="1" applyFont="1" applyFill="1" applyBorder="1" applyAlignment="1">
      <alignment horizontal="right" vertical="center"/>
    </xf>
    <xf numFmtId="4" fontId="6" fillId="5" borderId="45" xfId="0" applyNumberFormat="1" applyFont="1" applyFill="1" applyBorder="1" applyAlignment="1">
      <alignment horizontal="right" vertical="center"/>
    </xf>
    <xf numFmtId="4" fontId="8" fillId="0" borderId="8" xfId="0" applyNumberFormat="1" applyFont="1" applyBorder="1" applyAlignment="1">
      <alignment horizontal="center" vertical="center" wrapText="1"/>
    </xf>
    <xf numFmtId="4" fontId="8" fillId="0" borderId="35" xfId="0" applyNumberFormat="1" applyFont="1" applyBorder="1" applyAlignment="1">
      <alignment horizontal="center" vertical="center" wrapText="1"/>
    </xf>
    <xf numFmtId="4" fontId="8" fillId="0" borderId="4" xfId="0" applyNumberFormat="1" applyFont="1" applyBorder="1" applyAlignment="1">
      <alignment horizontal="center" vertical="center" wrapText="1"/>
    </xf>
    <xf numFmtId="3" fontId="6" fillId="6" borderId="37" xfId="0" applyNumberFormat="1" applyFont="1" applyFill="1" applyBorder="1" applyAlignment="1">
      <alignment horizontal="right" vertical="center" wrapText="1"/>
    </xf>
    <xf numFmtId="3" fontId="6" fillId="6" borderId="9" xfId="0" applyNumberFormat="1" applyFont="1" applyFill="1" applyBorder="1" applyAlignment="1">
      <alignment horizontal="right" vertical="center" wrapText="1"/>
    </xf>
    <xf numFmtId="4" fontId="8" fillId="0" borderId="6" xfId="0" applyNumberFormat="1" applyFont="1" applyBorder="1" applyAlignment="1">
      <alignment horizontal="center" vertical="center" wrapText="1"/>
    </xf>
    <xf numFmtId="3" fontId="6" fillId="0" borderId="37" xfId="0" applyNumberFormat="1" applyFont="1" applyBorder="1" applyAlignment="1">
      <alignment horizontal="right" vertical="center" wrapText="1"/>
    </xf>
    <xf numFmtId="3" fontId="6" fillId="0" borderId="9" xfId="0" applyNumberFormat="1" applyFont="1" applyBorder="1" applyAlignment="1">
      <alignment horizontal="right" vertical="center" wrapText="1"/>
    </xf>
    <xf numFmtId="3" fontId="6" fillId="0" borderId="53" xfId="0" applyNumberFormat="1" applyFont="1" applyBorder="1" applyAlignment="1">
      <alignment horizontal="right" vertical="center" wrapText="1"/>
    </xf>
    <xf numFmtId="3" fontId="6" fillId="0" borderId="15" xfId="0" applyNumberFormat="1" applyFont="1" applyBorder="1" applyAlignment="1">
      <alignment horizontal="right" vertical="center" wrapText="1"/>
    </xf>
    <xf numFmtId="3" fontId="6" fillId="0" borderId="16" xfId="0" applyNumberFormat="1" applyFont="1" applyBorder="1" applyAlignment="1">
      <alignment horizontal="right" vertical="center" wrapText="1"/>
    </xf>
    <xf numFmtId="4" fontId="7" fillId="6" borderId="10" xfId="0" applyNumberFormat="1" applyFont="1" applyFill="1" applyBorder="1" applyAlignment="1">
      <alignment horizontal="center" vertical="center" wrapText="1"/>
    </xf>
    <xf numFmtId="4" fontId="7" fillId="6" borderId="11" xfId="0" applyNumberFormat="1" applyFont="1" applyFill="1" applyBorder="1" applyAlignment="1">
      <alignment horizontal="center" vertical="center" wrapText="1"/>
    </xf>
    <xf numFmtId="4" fontId="7" fillId="6" borderId="20" xfId="0" applyNumberFormat="1" applyFont="1" applyFill="1" applyBorder="1" applyAlignment="1">
      <alignment horizontal="center" vertical="center" wrapText="1"/>
    </xf>
    <xf numFmtId="4" fontId="7" fillId="6" borderId="12" xfId="0" applyNumberFormat="1" applyFont="1" applyFill="1" applyBorder="1" applyAlignment="1">
      <alignment horizontal="center" vertical="center" wrapText="1"/>
    </xf>
    <xf numFmtId="3" fontId="7" fillId="6" borderId="10" xfId="0" applyNumberFormat="1" applyFont="1" applyFill="1" applyBorder="1" applyAlignment="1">
      <alignment horizontal="center" vertical="center" wrapText="1"/>
    </xf>
    <xf numFmtId="3" fontId="7" fillId="6" borderId="11" xfId="0" applyNumberFormat="1" applyFont="1" applyFill="1" applyBorder="1" applyAlignment="1">
      <alignment horizontal="center" vertical="center" wrapText="1"/>
    </xf>
    <xf numFmtId="3" fontId="7" fillId="6" borderId="20" xfId="0" applyNumberFormat="1" applyFont="1" applyFill="1" applyBorder="1" applyAlignment="1">
      <alignment horizontal="center" vertical="center" wrapText="1"/>
    </xf>
    <xf numFmtId="3" fontId="7" fillId="6" borderId="57" xfId="0" applyNumberFormat="1" applyFont="1" applyFill="1" applyBorder="1" applyAlignment="1">
      <alignment horizontal="center" vertical="center" wrapText="1"/>
    </xf>
    <xf numFmtId="3" fontId="6" fillId="6" borderId="10" xfId="0" applyNumberFormat="1" applyFont="1" applyFill="1" applyBorder="1" applyAlignment="1">
      <alignment horizontal="center" vertical="center" wrapText="1"/>
    </xf>
    <xf numFmtId="3" fontId="6" fillId="6" borderId="11" xfId="0" applyNumberFormat="1" applyFont="1" applyFill="1" applyBorder="1" applyAlignment="1">
      <alignment horizontal="center" vertical="center" wrapText="1"/>
    </xf>
    <xf numFmtId="3" fontId="6" fillId="6" borderId="44" xfId="0" applyNumberFormat="1" applyFont="1" applyFill="1" applyBorder="1" applyAlignment="1">
      <alignment horizontal="center" vertical="center" wrapText="1"/>
    </xf>
    <xf numFmtId="3" fontId="6" fillId="6" borderId="58" xfId="0" applyNumberFormat="1" applyFont="1" applyFill="1" applyBorder="1" applyAlignment="1">
      <alignment horizontal="center" vertical="center" wrapText="1"/>
    </xf>
    <xf numFmtId="3" fontId="6" fillId="6" borderId="12" xfId="0" applyNumberFormat="1" applyFont="1" applyFill="1" applyBorder="1" applyAlignment="1">
      <alignment horizontal="center" vertical="center" wrapText="1"/>
    </xf>
    <xf numFmtId="4" fontId="7" fillId="6" borderId="20" xfId="0" applyNumberFormat="1" applyFont="1" applyFill="1" applyBorder="1" applyAlignment="1">
      <alignment horizontal="center" vertical="center"/>
    </xf>
    <xf numFmtId="4" fontId="7" fillId="6" borderId="44" xfId="0" applyNumberFormat="1" applyFont="1" applyFill="1" applyBorder="1" applyAlignment="1">
      <alignment horizontal="center" vertical="center" wrapText="1"/>
    </xf>
    <xf numFmtId="4" fontId="7" fillId="6" borderId="58" xfId="0" applyNumberFormat="1" applyFont="1" applyFill="1" applyBorder="1" applyAlignment="1">
      <alignment horizontal="center" vertical="center" wrapText="1"/>
    </xf>
    <xf numFmtId="3" fontId="6" fillId="6" borderId="6" xfId="0" applyNumberFormat="1" applyFont="1" applyFill="1" applyBorder="1" applyAlignment="1">
      <alignment horizontal="right" vertical="center" wrapText="1"/>
    </xf>
    <xf numFmtId="0" fontId="6" fillId="7" borderId="10" xfId="0" applyFont="1" applyFill="1" applyBorder="1" applyAlignment="1">
      <alignment horizontal="right"/>
    </xf>
    <xf numFmtId="0" fontId="6" fillId="7" borderId="11" xfId="0" applyFont="1" applyFill="1" applyBorder="1" applyAlignment="1">
      <alignment horizontal="right"/>
    </xf>
    <xf numFmtId="4" fontId="7" fillId="6" borderId="0" xfId="0" applyNumberFormat="1" applyFont="1" applyFill="1" applyAlignment="1">
      <alignment horizontal="center" vertical="center" wrapText="1"/>
    </xf>
    <xf numFmtId="4" fontId="7" fillId="6" borderId="60" xfId="0" applyNumberFormat="1" applyFont="1" applyFill="1" applyBorder="1" applyAlignment="1">
      <alignment horizontal="center" vertical="center" wrapText="1"/>
    </xf>
    <xf numFmtId="3" fontId="6" fillId="6" borderId="1" xfId="0" applyNumberFormat="1" applyFont="1" applyFill="1" applyBorder="1" applyAlignment="1">
      <alignment horizontal="right" vertical="center" wrapText="1"/>
    </xf>
    <xf numFmtId="3" fontId="6" fillId="6" borderId="2" xfId="0" applyNumberFormat="1" applyFont="1" applyFill="1" applyBorder="1" applyAlignment="1">
      <alignment horizontal="right" vertical="center" wrapText="1"/>
    </xf>
    <xf numFmtId="3" fontId="6" fillId="6" borderId="3" xfId="0" applyNumberFormat="1" applyFont="1" applyFill="1" applyBorder="1" applyAlignment="1">
      <alignment horizontal="right" vertical="center" wrapText="1"/>
    </xf>
    <xf numFmtId="3" fontId="6" fillId="6" borderId="0" xfId="0" applyNumberFormat="1" applyFont="1" applyFill="1" applyAlignment="1">
      <alignment horizontal="center" vertical="center" wrapText="1"/>
    </xf>
    <xf numFmtId="3" fontId="6" fillId="6" borderId="60" xfId="0" applyNumberFormat="1" applyFont="1" applyFill="1" applyBorder="1" applyAlignment="1">
      <alignment horizontal="center" vertical="center" wrapText="1"/>
    </xf>
    <xf numFmtId="4" fontId="10" fillId="6" borderId="43" xfId="0" applyNumberFormat="1" applyFont="1" applyFill="1" applyBorder="1" applyAlignment="1">
      <alignment horizontal="center" vertical="center" wrapText="1"/>
    </xf>
    <xf numFmtId="4" fontId="10" fillId="6" borderId="44" xfId="0" applyNumberFormat="1" applyFont="1" applyFill="1" applyBorder="1" applyAlignment="1">
      <alignment horizontal="center" vertical="center" wrapText="1"/>
    </xf>
    <xf numFmtId="0" fontId="5" fillId="0" borderId="5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" fontId="15" fillId="6" borderId="10" xfId="0" applyNumberFormat="1" applyFont="1" applyFill="1" applyBorder="1" applyAlignment="1">
      <alignment horizontal="right" vertical="center"/>
    </xf>
    <xf numFmtId="4" fontId="15" fillId="6" borderId="11" xfId="0" applyNumberFormat="1" applyFont="1" applyFill="1" applyBorder="1" applyAlignment="1">
      <alignment horizontal="right" vertical="center"/>
    </xf>
    <xf numFmtId="4" fontId="15" fillId="6" borderId="12" xfId="0" applyNumberFormat="1" applyFont="1" applyFill="1" applyBorder="1" applyAlignment="1">
      <alignment horizontal="right" vertical="center"/>
    </xf>
    <xf numFmtId="0" fontId="20" fillId="0" borderId="19" xfId="0" applyFont="1" applyBorder="1" applyAlignment="1">
      <alignment horizontal="left" wrapText="1"/>
    </xf>
    <xf numFmtId="0" fontId="20" fillId="0" borderId="20" xfId="0" applyFont="1" applyBorder="1" applyAlignment="1">
      <alignment horizontal="left"/>
    </xf>
    <xf numFmtId="0" fontId="20" fillId="0" borderId="57" xfId="0" applyFont="1" applyBorder="1" applyAlignment="1">
      <alignment horizontal="left"/>
    </xf>
    <xf numFmtId="0" fontId="20" fillId="0" borderId="49" xfId="0" applyFont="1" applyBorder="1" applyAlignment="1">
      <alignment horizontal="left"/>
    </xf>
    <xf numFmtId="0" fontId="20" fillId="0" borderId="0" xfId="0" applyFont="1" applyAlignment="1">
      <alignment horizontal="left"/>
    </xf>
    <xf numFmtId="0" fontId="20" fillId="0" borderId="60" xfId="0" applyFont="1" applyBorder="1" applyAlignment="1">
      <alignment horizontal="left"/>
    </xf>
    <xf numFmtId="0" fontId="20" fillId="0" borderId="61" xfId="0" applyFont="1" applyBorder="1" applyAlignment="1">
      <alignment horizontal="left"/>
    </xf>
    <xf numFmtId="0" fontId="20" fillId="0" borderId="44" xfId="0" applyFont="1" applyBorder="1" applyAlignment="1">
      <alignment horizontal="left"/>
    </xf>
    <xf numFmtId="0" fontId="20" fillId="0" borderId="58" xfId="0" applyFont="1" applyBorder="1" applyAlignment="1">
      <alignment horizontal="left"/>
    </xf>
    <xf numFmtId="4" fontId="15" fillId="6" borderId="19" xfId="0" applyNumberFormat="1" applyFont="1" applyFill="1" applyBorder="1" applyAlignment="1">
      <alignment horizontal="center" vertical="center" wrapText="1"/>
    </xf>
    <xf numFmtId="4" fontId="15" fillId="6" borderId="20" xfId="0" applyNumberFormat="1" applyFont="1" applyFill="1" applyBorder="1" applyAlignment="1">
      <alignment horizontal="center" vertical="center" wrapText="1"/>
    </xf>
    <xf numFmtId="4" fontId="15" fillId="6" borderId="57" xfId="0" applyNumberFormat="1" applyFont="1" applyFill="1" applyBorder="1" applyAlignment="1">
      <alignment horizontal="center" vertical="center" wrapText="1"/>
    </xf>
    <xf numFmtId="3" fontId="15" fillId="6" borderId="42" xfId="0" applyNumberFormat="1" applyFont="1" applyFill="1" applyBorder="1" applyAlignment="1">
      <alignment horizontal="right" vertical="center" wrapText="1"/>
    </xf>
    <xf numFmtId="3" fontId="15" fillId="6" borderId="41" xfId="0" applyNumberFormat="1" applyFont="1" applyFill="1" applyBorder="1" applyAlignment="1">
      <alignment horizontal="right" vertical="center" wrapText="1"/>
    </xf>
    <xf numFmtId="3" fontId="15" fillId="6" borderId="46" xfId="0" applyNumberFormat="1" applyFont="1" applyFill="1" applyBorder="1" applyAlignment="1">
      <alignment horizontal="right" vertical="center" wrapText="1"/>
    </xf>
    <xf numFmtId="4" fontId="15" fillId="6" borderId="10" xfId="0" applyNumberFormat="1" applyFont="1" applyFill="1" applyBorder="1" applyAlignment="1">
      <alignment horizontal="center" vertical="center"/>
    </xf>
    <xf numFmtId="4" fontId="15" fillId="6" borderId="11" xfId="0" applyNumberFormat="1" applyFont="1" applyFill="1" applyBorder="1" applyAlignment="1">
      <alignment horizontal="center" vertical="center"/>
    </xf>
    <xf numFmtId="4" fontId="15" fillId="6" borderId="12" xfId="0" applyNumberFormat="1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2DB6A-E19C-452C-8169-8AB52DD9A690}">
  <sheetPr>
    <pageSetUpPr fitToPage="1"/>
  </sheetPr>
  <dimension ref="A1:S8"/>
  <sheetViews>
    <sheetView zoomScale="70" zoomScaleNormal="70" workbookViewId="0">
      <selection activeCell="K13" sqref="K13"/>
    </sheetView>
  </sheetViews>
  <sheetFormatPr defaultRowHeight="15" x14ac:dyDescent="0.25"/>
  <cols>
    <col min="1" max="1" width="5.28515625" customWidth="1"/>
    <col min="2" max="2" width="32.140625" customWidth="1"/>
    <col min="3" max="3" width="17.140625" customWidth="1"/>
    <col min="4" max="4" width="34.85546875" customWidth="1"/>
    <col min="5" max="5" width="13.7109375" customWidth="1"/>
    <col min="6" max="6" width="13.5703125" customWidth="1"/>
    <col min="7" max="7" width="22.42578125" customWidth="1"/>
    <col min="8" max="8" width="16.7109375" customWidth="1"/>
    <col min="9" max="9" width="13.5703125" customWidth="1"/>
    <col min="10" max="10" width="26.85546875" customWidth="1"/>
    <col min="11" max="11" width="13.85546875" customWidth="1"/>
    <col min="12" max="12" width="17" customWidth="1"/>
    <col min="13" max="13" width="15.7109375" customWidth="1"/>
    <col min="14" max="14" width="17.28515625" customWidth="1"/>
    <col min="15" max="15" width="10" customWidth="1"/>
    <col min="16" max="16" width="23.85546875" customWidth="1"/>
    <col min="17" max="17" width="12" customWidth="1"/>
    <col min="19" max="19" width="14.42578125" customWidth="1"/>
  </cols>
  <sheetData>
    <row r="1" spans="1:19" ht="104.25" customHeight="1" thickBot="1" x14ac:dyDescent="0.3">
      <c r="A1" s="162" t="s">
        <v>0</v>
      </c>
      <c r="B1" s="163" t="s">
        <v>170</v>
      </c>
      <c r="C1" s="163" t="s">
        <v>59</v>
      </c>
      <c r="D1" s="163" t="s">
        <v>1</v>
      </c>
      <c r="E1" s="163" t="s">
        <v>2</v>
      </c>
      <c r="F1" s="164" t="s">
        <v>3</v>
      </c>
      <c r="G1" s="164" t="s">
        <v>4</v>
      </c>
      <c r="H1" s="164" t="s">
        <v>5</v>
      </c>
      <c r="I1" s="162" t="s">
        <v>6</v>
      </c>
      <c r="J1" s="164" t="s">
        <v>7</v>
      </c>
      <c r="K1" s="164" t="s">
        <v>8</v>
      </c>
      <c r="L1" s="164" t="s">
        <v>9</v>
      </c>
      <c r="M1" s="164" t="s">
        <v>10</v>
      </c>
      <c r="N1" s="164" t="s">
        <v>68</v>
      </c>
      <c r="O1" s="164" t="s">
        <v>69</v>
      </c>
      <c r="P1" s="165" t="s">
        <v>67</v>
      </c>
      <c r="Q1" s="28"/>
      <c r="R1" s="253"/>
      <c r="S1" s="253"/>
    </row>
    <row r="2" spans="1:19" ht="30" x14ac:dyDescent="0.25">
      <c r="A2" s="166">
        <v>1</v>
      </c>
      <c r="B2" s="167" t="s">
        <v>54</v>
      </c>
      <c r="C2" s="168">
        <v>43276</v>
      </c>
      <c r="D2" s="169" t="s">
        <v>60</v>
      </c>
      <c r="E2" s="170" t="s">
        <v>14</v>
      </c>
      <c r="F2" s="171">
        <v>0</v>
      </c>
      <c r="G2" s="169" t="s">
        <v>63</v>
      </c>
      <c r="H2" s="168">
        <v>44196</v>
      </c>
      <c r="I2" s="172" t="s">
        <v>13</v>
      </c>
      <c r="J2" s="169" t="s">
        <v>18</v>
      </c>
      <c r="K2" s="170">
        <v>13</v>
      </c>
      <c r="L2" s="170">
        <v>0</v>
      </c>
      <c r="M2" s="168">
        <v>44196</v>
      </c>
      <c r="N2" s="169" t="s">
        <v>177</v>
      </c>
      <c r="O2" s="173">
        <v>293</v>
      </c>
      <c r="P2" s="174" t="s">
        <v>73</v>
      </c>
      <c r="Q2" s="28"/>
      <c r="R2" s="28"/>
      <c r="S2" s="28"/>
    </row>
    <row r="3" spans="1:19" ht="30" x14ac:dyDescent="0.25">
      <c r="A3" s="166">
        <v>2</v>
      </c>
      <c r="B3" s="175" t="s">
        <v>55</v>
      </c>
      <c r="C3" s="176">
        <v>43328</v>
      </c>
      <c r="D3" s="177" t="s">
        <v>173</v>
      </c>
      <c r="E3" s="178" t="s">
        <v>14</v>
      </c>
      <c r="F3" s="171">
        <v>0</v>
      </c>
      <c r="G3" s="179" t="s">
        <v>174</v>
      </c>
      <c r="H3" s="168">
        <v>44196</v>
      </c>
      <c r="I3" s="172" t="s">
        <v>16</v>
      </c>
      <c r="J3" s="169" t="s">
        <v>175</v>
      </c>
      <c r="K3" s="170">
        <v>2</v>
      </c>
      <c r="L3" s="170">
        <v>0</v>
      </c>
      <c r="M3" s="168">
        <v>44196</v>
      </c>
      <c r="N3" s="169" t="s">
        <v>70</v>
      </c>
      <c r="O3" s="173">
        <v>408</v>
      </c>
      <c r="P3" s="174" t="s">
        <v>74</v>
      </c>
      <c r="Q3" s="28"/>
      <c r="R3" s="28"/>
      <c r="S3" s="28"/>
    </row>
    <row r="4" spans="1:19" s="29" customFormat="1" ht="30" x14ac:dyDescent="0.25">
      <c r="A4" s="166">
        <v>3</v>
      </c>
      <c r="B4" s="178" t="s">
        <v>56</v>
      </c>
      <c r="C4" s="180">
        <v>43705</v>
      </c>
      <c r="D4" s="181" t="s">
        <v>176</v>
      </c>
      <c r="E4" s="178" t="s">
        <v>14</v>
      </c>
      <c r="F4" s="171">
        <v>0</v>
      </c>
      <c r="G4" s="182" t="s">
        <v>15</v>
      </c>
      <c r="H4" s="168">
        <v>44196</v>
      </c>
      <c r="I4" s="172" t="s">
        <v>16</v>
      </c>
      <c r="J4" s="182" t="s">
        <v>19</v>
      </c>
      <c r="K4" s="183">
        <v>6</v>
      </c>
      <c r="L4" s="170">
        <v>0</v>
      </c>
      <c r="M4" s="180">
        <v>44316</v>
      </c>
      <c r="N4" s="182" t="s">
        <v>70</v>
      </c>
      <c r="O4" s="183">
        <v>276</v>
      </c>
      <c r="P4" s="182" t="s">
        <v>75</v>
      </c>
      <c r="Q4" s="28"/>
      <c r="R4" s="28"/>
      <c r="S4" s="28"/>
    </row>
    <row r="5" spans="1:19" ht="30" x14ac:dyDescent="0.25">
      <c r="A5" s="166">
        <v>4</v>
      </c>
      <c r="B5" s="175" t="s">
        <v>57</v>
      </c>
      <c r="C5" s="184">
        <v>44127</v>
      </c>
      <c r="D5" s="185" t="s">
        <v>61</v>
      </c>
      <c r="E5" s="178" t="s">
        <v>14</v>
      </c>
      <c r="F5" s="171">
        <v>0</v>
      </c>
      <c r="G5" s="186" t="s">
        <v>65</v>
      </c>
      <c r="H5" s="187">
        <v>44255</v>
      </c>
      <c r="I5" s="172" t="s">
        <v>16</v>
      </c>
      <c r="J5" s="186" t="s">
        <v>17</v>
      </c>
      <c r="K5" s="161">
        <v>9</v>
      </c>
      <c r="L5" s="170">
        <v>0</v>
      </c>
      <c r="M5" s="187">
        <v>44316</v>
      </c>
      <c r="N5" s="186" t="s">
        <v>178</v>
      </c>
      <c r="O5" s="188">
        <v>188</v>
      </c>
      <c r="P5" s="182" t="s">
        <v>76</v>
      </c>
      <c r="Q5" s="1"/>
      <c r="R5" s="1"/>
      <c r="S5" s="1"/>
    </row>
    <row r="6" spans="1:19" ht="30" x14ac:dyDescent="0.25">
      <c r="A6" s="166">
        <v>6</v>
      </c>
      <c r="B6" s="175" t="s">
        <v>58</v>
      </c>
      <c r="C6" s="184">
        <v>43670</v>
      </c>
      <c r="D6" s="189" t="s">
        <v>62</v>
      </c>
      <c r="E6" s="178" t="s">
        <v>11</v>
      </c>
      <c r="F6" s="190">
        <v>3810</v>
      </c>
      <c r="G6" s="186" t="s">
        <v>64</v>
      </c>
      <c r="H6" s="187">
        <v>44196</v>
      </c>
      <c r="I6" s="172" t="s">
        <v>16</v>
      </c>
      <c r="J6" s="186" t="s">
        <v>18</v>
      </c>
      <c r="K6" s="161">
        <v>4</v>
      </c>
      <c r="L6" s="170">
        <v>0</v>
      </c>
      <c r="M6" s="187">
        <v>44316</v>
      </c>
      <c r="N6" s="186" t="s">
        <v>72</v>
      </c>
      <c r="O6" s="188">
        <v>147</v>
      </c>
      <c r="P6" s="182" t="s">
        <v>77</v>
      </c>
      <c r="Q6" s="1"/>
      <c r="R6" s="1"/>
      <c r="S6" s="1"/>
    </row>
    <row r="7" spans="1:19" ht="30.75" thickBot="1" x14ac:dyDescent="0.3">
      <c r="A7" s="166">
        <v>7</v>
      </c>
      <c r="B7" s="170" t="s">
        <v>171</v>
      </c>
      <c r="C7" s="191">
        <v>43747</v>
      </c>
      <c r="D7" s="169" t="s">
        <v>172</v>
      </c>
      <c r="E7" s="178" t="s">
        <v>14</v>
      </c>
      <c r="F7" s="171">
        <v>0</v>
      </c>
      <c r="G7" s="186" t="s">
        <v>12</v>
      </c>
      <c r="H7" s="192">
        <v>45657</v>
      </c>
      <c r="I7" s="172" t="s">
        <v>16</v>
      </c>
      <c r="J7" s="186" t="s">
        <v>66</v>
      </c>
      <c r="K7" s="193">
        <v>1</v>
      </c>
      <c r="L7" s="194">
        <v>0</v>
      </c>
      <c r="M7" s="192">
        <v>45657</v>
      </c>
      <c r="N7" s="186" t="s">
        <v>71</v>
      </c>
      <c r="O7" s="160" t="s">
        <v>179</v>
      </c>
      <c r="P7" s="161" t="s">
        <v>180</v>
      </c>
    </row>
    <row r="8" spans="1:19" ht="15.75" thickBot="1" x14ac:dyDescent="0.3">
      <c r="K8" s="159">
        <f>SUM(K2:K7)</f>
        <v>35</v>
      </c>
      <c r="L8" s="159">
        <f>SUM(L2:L7)</f>
        <v>0</v>
      </c>
    </row>
  </sheetData>
  <mergeCells count="1">
    <mergeCell ref="R1:S1"/>
  </mergeCells>
  <phoneticPr fontId="12" type="noConversion"/>
  <pageMargins left="0.23622047244094491" right="0.23622047244094491" top="0.74803149606299213" bottom="0.74803149606299213" header="0.31496062992125984" footer="0.31496062992125984"/>
  <pageSetup paperSize="9" scale="4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D88A6-A4D5-43E3-ACDF-1DCA5BA45B94}">
  <sheetPr>
    <pageSetUpPr fitToPage="1"/>
  </sheetPr>
  <dimension ref="A1:P18"/>
  <sheetViews>
    <sheetView workbookViewId="0">
      <selection activeCell="D18" sqref="D18"/>
    </sheetView>
  </sheetViews>
  <sheetFormatPr defaultRowHeight="15" x14ac:dyDescent="0.25"/>
  <cols>
    <col min="1" max="1" width="16.42578125" bestFit="1" customWidth="1"/>
    <col min="2" max="3" width="16.42578125" customWidth="1"/>
    <col min="4" max="4" width="8.85546875" bestFit="1" customWidth="1"/>
    <col min="10" max="10" width="10.140625" customWidth="1"/>
    <col min="11" max="11" width="10" bestFit="1" customWidth="1"/>
    <col min="12" max="12" width="10.7109375" customWidth="1"/>
    <col min="13" max="13" width="12.140625" customWidth="1"/>
  </cols>
  <sheetData>
    <row r="1" spans="1:16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ht="15.75" thickBot="1" x14ac:dyDescent="0.3">
      <c r="A2" s="254" t="s">
        <v>26</v>
      </c>
      <c r="B2" s="255"/>
      <c r="C2" s="255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7"/>
      <c r="P2" s="2"/>
    </row>
    <row r="3" spans="1:16" ht="39" thickBot="1" x14ac:dyDescent="0.3">
      <c r="A3" s="21" t="s">
        <v>29</v>
      </c>
      <c r="B3" s="22" t="s">
        <v>30</v>
      </c>
      <c r="C3" s="23" t="s">
        <v>45</v>
      </c>
      <c r="D3" s="24" t="s">
        <v>20</v>
      </c>
      <c r="E3" s="25" t="s">
        <v>23</v>
      </c>
      <c r="F3" s="26" t="s">
        <v>49</v>
      </c>
      <c r="G3" s="24" t="s">
        <v>21</v>
      </c>
      <c r="H3" s="25" t="s">
        <v>22</v>
      </c>
      <c r="I3" s="26" t="s">
        <v>46</v>
      </c>
      <c r="J3" s="24" t="s">
        <v>25</v>
      </c>
      <c r="K3" s="25" t="s">
        <v>22</v>
      </c>
      <c r="L3" s="26" t="s">
        <v>24</v>
      </c>
      <c r="M3" s="24" t="s">
        <v>51</v>
      </c>
      <c r="N3" s="25" t="s">
        <v>52</v>
      </c>
      <c r="O3" s="26" t="s">
        <v>53</v>
      </c>
      <c r="P3" s="2"/>
    </row>
    <row r="4" spans="1:16" x14ac:dyDescent="0.25">
      <c r="A4" s="9" t="s">
        <v>31</v>
      </c>
      <c r="B4" s="9" t="s">
        <v>32</v>
      </c>
      <c r="C4" s="9" t="s">
        <v>33</v>
      </c>
      <c r="D4" s="9" t="s">
        <v>34</v>
      </c>
      <c r="E4" s="9" t="s">
        <v>35</v>
      </c>
      <c r="F4" s="9" t="s">
        <v>36</v>
      </c>
      <c r="G4" s="9" t="s">
        <v>37</v>
      </c>
      <c r="H4" s="9" t="s">
        <v>38</v>
      </c>
      <c r="I4" s="9" t="s">
        <v>39</v>
      </c>
      <c r="J4" s="9" t="s">
        <v>40</v>
      </c>
      <c r="K4" s="9" t="s">
        <v>41</v>
      </c>
      <c r="L4" s="9" t="s">
        <v>42</v>
      </c>
      <c r="M4" s="9" t="s">
        <v>50</v>
      </c>
      <c r="N4" s="9" t="s">
        <v>43</v>
      </c>
      <c r="O4" s="9" t="s">
        <v>44</v>
      </c>
      <c r="P4" s="2"/>
    </row>
    <row r="5" spans="1:16" ht="38.25" x14ac:dyDescent="0.25">
      <c r="A5" s="10">
        <v>26</v>
      </c>
      <c r="B5" s="11" t="s">
        <v>27</v>
      </c>
      <c r="C5" s="16">
        <v>1200</v>
      </c>
      <c r="D5" s="4">
        <f>(26*975.6)</f>
        <v>25365.600000000002</v>
      </c>
      <c r="E5" s="3">
        <f>F5-D5</f>
        <v>11034.399999999998</v>
      </c>
      <c r="F5" s="5">
        <f>(26*1400)</f>
        <v>36400</v>
      </c>
      <c r="G5" s="4">
        <f>((975.6*40%)*26)</f>
        <v>10146.24</v>
      </c>
      <c r="H5" s="3">
        <f>I5-G5</f>
        <v>2333.7600000000002</v>
      </c>
      <c r="I5" s="5">
        <f>((1200*40%)*26)</f>
        <v>12480</v>
      </c>
      <c r="J5" s="4">
        <f>((975.6*50%)*26)</f>
        <v>12682.800000000001</v>
      </c>
      <c r="K5" s="3">
        <f>L5-J5</f>
        <v>2917.1999999999989</v>
      </c>
      <c r="L5" s="5">
        <f>((1200*50%)*26)</f>
        <v>15600</v>
      </c>
      <c r="M5" s="4">
        <f>F5+I5+L5</f>
        <v>64480</v>
      </c>
      <c r="N5" s="3">
        <f>E5+H5+K5</f>
        <v>16285.359999999997</v>
      </c>
      <c r="O5" s="5">
        <f>D5+G5+J5</f>
        <v>48194.640000000007</v>
      </c>
      <c r="P5" s="2"/>
    </row>
    <row r="6" spans="1:16" ht="25.5" x14ac:dyDescent="0.25">
      <c r="A6" s="12">
        <v>25</v>
      </c>
      <c r="B6" s="11" t="s">
        <v>28</v>
      </c>
      <c r="C6" s="16">
        <v>800</v>
      </c>
      <c r="D6" s="4">
        <f>(26*650.4)</f>
        <v>16910.399999999998</v>
      </c>
      <c r="E6" s="3">
        <f>F6-D6</f>
        <v>8089.6000000000022</v>
      </c>
      <c r="F6" s="5">
        <f>(25*1000)</f>
        <v>25000</v>
      </c>
      <c r="G6" s="4">
        <f>((650.4*40%)*25)</f>
        <v>6504.0000000000009</v>
      </c>
      <c r="H6" s="3">
        <f>I6-G6</f>
        <v>1495.9999999999991</v>
      </c>
      <c r="I6" s="5">
        <f>((800*40%)*25)</f>
        <v>8000</v>
      </c>
      <c r="J6" s="4">
        <f>((650.4*50%)*25)</f>
        <v>8130</v>
      </c>
      <c r="K6" s="3">
        <f>L6-J6</f>
        <v>1870</v>
      </c>
      <c r="L6" s="5">
        <f>((800*50%)*25)</f>
        <v>10000</v>
      </c>
      <c r="M6" s="4">
        <f>F6+I6+L6</f>
        <v>43000</v>
      </c>
      <c r="N6" s="3">
        <f>E6+H6+K6</f>
        <v>11455.600000000002</v>
      </c>
      <c r="O6" s="5">
        <f>D6+G6+J6</f>
        <v>31544.399999999998</v>
      </c>
      <c r="P6" s="2"/>
    </row>
    <row r="7" spans="1:16" ht="15.75" thickBot="1" x14ac:dyDescent="0.3">
      <c r="A7" s="13">
        <f>SUM(A5:A6)</f>
        <v>51</v>
      </c>
      <c r="B7" s="14"/>
      <c r="C7" s="15"/>
      <c r="D7" s="6">
        <f t="shared" ref="D7:O7" si="0">SUM(D5:D6)</f>
        <v>42276</v>
      </c>
      <c r="E7" s="7">
        <f t="shared" si="0"/>
        <v>19124</v>
      </c>
      <c r="F7" s="8">
        <f t="shared" si="0"/>
        <v>61400</v>
      </c>
      <c r="G7" s="6">
        <f t="shared" si="0"/>
        <v>16650.240000000002</v>
      </c>
      <c r="H7" s="7">
        <f t="shared" si="0"/>
        <v>3829.7599999999993</v>
      </c>
      <c r="I7" s="8">
        <f t="shared" si="0"/>
        <v>20480</v>
      </c>
      <c r="J7" s="6">
        <f t="shared" si="0"/>
        <v>20812.800000000003</v>
      </c>
      <c r="K7" s="7">
        <f t="shared" si="0"/>
        <v>4787.1999999999989</v>
      </c>
      <c r="L7" s="8">
        <f t="shared" si="0"/>
        <v>25600</v>
      </c>
      <c r="M7" s="18">
        <f t="shared" si="0"/>
        <v>107480</v>
      </c>
      <c r="N7" s="19">
        <f t="shared" si="0"/>
        <v>27740.959999999999</v>
      </c>
      <c r="O7" s="20">
        <f t="shared" si="0"/>
        <v>79739.040000000008</v>
      </c>
      <c r="P7" s="2"/>
    </row>
    <row r="8" spans="1:16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5">
      <c r="A9" s="17" t="s">
        <v>47</v>
      </c>
      <c r="B9" s="17"/>
      <c r="C9" s="17"/>
    </row>
    <row r="10" spans="1:16" x14ac:dyDescent="0.25">
      <c r="A10" s="17" t="s">
        <v>48</v>
      </c>
      <c r="B10" s="17"/>
      <c r="C10" s="17"/>
    </row>
    <row r="12" spans="1:16" x14ac:dyDescent="0.25">
      <c r="F12" s="27"/>
      <c r="I12" s="27"/>
      <c r="K12" s="27"/>
    </row>
    <row r="17" spans="9:13" x14ac:dyDescent="0.25">
      <c r="I17" s="27"/>
      <c r="K17" s="27"/>
    </row>
    <row r="18" spans="9:13" x14ac:dyDescent="0.25">
      <c r="M18" s="27"/>
    </row>
  </sheetData>
  <mergeCells count="1">
    <mergeCell ref="A2:O2"/>
  </mergeCells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3C612-9F68-4457-A180-85B795123B4A}">
  <sheetPr>
    <pageSetUpPr fitToPage="1"/>
  </sheetPr>
  <dimension ref="A1:X43"/>
  <sheetViews>
    <sheetView topLeftCell="E22" zoomScale="60" zoomScaleNormal="60" workbookViewId="0">
      <selection activeCell="F14" sqref="F14"/>
    </sheetView>
  </sheetViews>
  <sheetFormatPr defaultRowHeight="15" x14ac:dyDescent="0.25"/>
  <cols>
    <col min="2" max="2" width="36.7109375" customWidth="1"/>
    <col min="3" max="3" width="43.85546875" customWidth="1"/>
    <col min="4" max="4" width="67.28515625" customWidth="1"/>
    <col min="6" max="6" width="13.42578125" customWidth="1"/>
    <col min="7" max="7" width="18.85546875" customWidth="1"/>
    <col min="8" max="8" width="21.85546875" customWidth="1"/>
    <col min="9" max="9" width="14.28515625" customWidth="1"/>
    <col min="10" max="10" width="23.42578125" customWidth="1"/>
    <col min="11" max="11" width="22.28515625" customWidth="1"/>
    <col min="12" max="12" width="14.85546875" customWidth="1"/>
    <col min="13" max="13" width="19.42578125" customWidth="1"/>
    <col min="14" max="14" width="23.7109375" customWidth="1"/>
    <col min="15" max="15" width="12.7109375" customWidth="1"/>
    <col min="16" max="16" width="23.85546875" customWidth="1"/>
    <col min="17" max="17" width="25.140625" customWidth="1"/>
    <col min="18" max="18" width="25" customWidth="1"/>
    <col min="19" max="19" width="21.42578125" customWidth="1"/>
    <col min="20" max="20" width="21.85546875" customWidth="1"/>
    <col min="21" max="22" width="22.7109375" customWidth="1"/>
    <col min="23" max="23" width="18.7109375" customWidth="1"/>
    <col min="24" max="24" width="19.85546875" customWidth="1"/>
  </cols>
  <sheetData>
    <row r="1" spans="1:24" ht="23.25" customHeight="1" thickBot="1" x14ac:dyDescent="0.3">
      <c r="A1" s="258" t="s">
        <v>163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59"/>
      <c r="T1" s="259"/>
      <c r="U1" s="259"/>
      <c r="V1" s="259"/>
      <c r="W1" s="259"/>
      <c r="X1" s="260"/>
    </row>
    <row r="2" spans="1:24" ht="213.75" x14ac:dyDescent="0.25">
      <c r="A2" s="30" t="s">
        <v>78</v>
      </c>
      <c r="B2" s="31" t="s">
        <v>79</v>
      </c>
      <c r="C2" s="31" t="s">
        <v>80</v>
      </c>
      <c r="D2" s="31" t="s">
        <v>81</v>
      </c>
      <c r="E2" s="31" t="s">
        <v>82</v>
      </c>
      <c r="F2" s="31" t="s">
        <v>83</v>
      </c>
      <c r="G2" s="32" t="s">
        <v>84</v>
      </c>
      <c r="H2" s="33" t="s">
        <v>151</v>
      </c>
      <c r="I2" s="34" t="s">
        <v>85</v>
      </c>
      <c r="J2" s="35" t="s">
        <v>152</v>
      </c>
      <c r="K2" s="33" t="s">
        <v>153</v>
      </c>
      <c r="L2" s="34" t="s">
        <v>85</v>
      </c>
      <c r="M2" s="35" t="s">
        <v>154</v>
      </c>
      <c r="N2" s="33" t="s">
        <v>155</v>
      </c>
      <c r="O2" s="34" t="s">
        <v>85</v>
      </c>
      <c r="P2" s="118" t="s">
        <v>156</v>
      </c>
      <c r="Q2" s="33" t="s">
        <v>86</v>
      </c>
      <c r="R2" s="35" t="s">
        <v>157</v>
      </c>
      <c r="S2" s="120" t="s">
        <v>164</v>
      </c>
      <c r="T2" s="118" t="s">
        <v>165</v>
      </c>
      <c r="U2" s="131" t="s">
        <v>159</v>
      </c>
      <c r="V2" s="132" t="s">
        <v>160</v>
      </c>
      <c r="W2" s="133" t="s">
        <v>164</v>
      </c>
      <c r="X2" s="134" t="s">
        <v>165</v>
      </c>
    </row>
    <row r="3" spans="1:24" ht="15.75" thickBot="1" x14ac:dyDescent="0.3">
      <c r="A3" s="36" t="s">
        <v>31</v>
      </c>
      <c r="B3" s="37" t="s">
        <v>32</v>
      </c>
      <c r="C3" s="37" t="s">
        <v>33</v>
      </c>
      <c r="D3" s="37" t="s">
        <v>34</v>
      </c>
      <c r="E3" s="37" t="s">
        <v>35</v>
      </c>
      <c r="F3" s="37" t="s">
        <v>36</v>
      </c>
      <c r="G3" s="38"/>
      <c r="H3" s="39" t="s">
        <v>37</v>
      </c>
      <c r="I3" s="37" t="s">
        <v>38</v>
      </c>
      <c r="J3" s="38" t="s">
        <v>39</v>
      </c>
      <c r="K3" s="39" t="s">
        <v>40</v>
      </c>
      <c r="L3" s="37" t="s">
        <v>41</v>
      </c>
      <c r="M3" s="38" t="s">
        <v>42</v>
      </c>
      <c r="N3" s="39" t="s">
        <v>50</v>
      </c>
      <c r="O3" s="37" t="s">
        <v>43</v>
      </c>
      <c r="P3" s="119" t="s">
        <v>44</v>
      </c>
      <c r="Q3" s="39" t="s">
        <v>87</v>
      </c>
      <c r="R3" s="117" t="s">
        <v>158</v>
      </c>
      <c r="S3" s="121" t="s">
        <v>161</v>
      </c>
      <c r="T3" s="122" t="s">
        <v>162</v>
      </c>
      <c r="U3" s="135" t="s">
        <v>166</v>
      </c>
      <c r="V3" s="136" t="s">
        <v>167</v>
      </c>
      <c r="W3" s="137" t="s">
        <v>168</v>
      </c>
      <c r="X3" s="138" t="s">
        <v>169</v>
      </c>
    </row>
    <row r="4" spans="1:24" ht="16.5" customHeight="1" thickBot="1" x14ac:dyDescent="0.3">
      <c r="A4" s="275" t="s">
        <v>88</v>
      </c>
      <c r="B4" s="276"/>
      <c r="C4" s="276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76"/>
      <c r="T4" s="276"/>
      <c r="U4" s="277"/>
      <c r="V4" s="277"/>
      <c r="W4" s="276"/>
      <c r="X4" s="278"/>
    </row>
    <row r="5" spans="1:24" ht="45" x14ac:dyDescent="0.25">
      <c r="A5" s="40">
        <v>1</v>
      </c>
      <c r="B5" s="41" t="s">
        <v>89</v>
      </c>
      <c r="C5" s="41" t="s">
        <v>90</v>
      </c>
      <c r="D5" s="42" t="s">
        <v>91</v>
      </c>
      <c r="E5" s="41" t="s">
        <v>92</v>
      </c>
      <c r="F5" s="41">
        <v>13</v>
      </c>
      <c r="G5" s="43" t="s">
        <v>93</v>
      </c>
      <c r="H5" s="86">
        <v>464.8</v>
      </c>
      <c r="I5" s="81">
        <v>0.08</v>
      </c>
      <c r="J5" s="87">
        <v>501.98</v>
      </c>
      <c r="K5" s="90">
        <v>322.32</v>
      </c>
      <c r="L5" s="81">
        <v>0.08</v>
      </c>
      <c r="M5" s="87">
        <v>348.1</v>
      </c>
      <c r="N5" s="86">
        <v>478.02</v>
      </c>
      <c r="O5" s="81">
        <v>0.08</v>
      </c>
      <c r="P5" s="91">
        <v>516.26</v>
      </c>
      <c r="Q5" s="123">
        <f>F5*(J5+M5+P5)</f>
        <v>17762.420000000002</v>
      </c>
      <c r="R5" s="124">
        <f>Q5/1.08</f>
        <v>16446.685185185186</v>
      </c>
      <c r="S5" s="125">
        <f>F5*P5</f>
        <v>6711.38</v>
      </c>
      <c r="T5" s="126">
        <f>F5*N5</f>
        <v>6214.26</v>
      </c>
      <c r="U5" s="139">
        <v>0</v>
      </c>
      <c r="V5" s="140">
        <v>0</v>
      </c>
      <c r="W5" s="139">
        <v>0</v>
      </c>
      <c r="X5" s="140">
        <v>0</v>
      </c>
    </row>
    <row r="6" spans="1:24" ht="45" x14ac:dyDescent="0.25">
      <c r="A6" s="44">
        <v>2</v>
      </c>
      <c r="B6" s="45" t="s">
        <v>94</v>
      </c>
      <c r="C6" s="45" t="s">
        <v>95</v>
      </c>
      <c r="D6" s="46" t="s">
        <v>96</v>
      </c>
      <c r="E6" s="41" t="s">
        <v>92</v>
      </c>
      <c r="F6" s="45">
        <v>2</v>
      </c>
      <c r="G6" s="47" t="s">
        <v>93</v>
      </c>
      <c r="H6" s="76">
        <v>431.2</v>
      </c>
      <c r="I6" s="78">
        <v>0.08</v>
      </c>
      <c r="J6" s="77">
        <v>465.7</v>
      </c>
      <c r="K6" s="80">
        <v>322.32</v>
      </c>
      <c r="L6" s="78">
        <v>0.08</v>
      </c>
      <c r="M6" s="77">
        <v>348.1</v>
      </c>
      <c r="N6" s="76">
        <v>478.02</v>
      </c>
      <c r="O6" s="78">
        <v>0.08</v>
      </c>
      <c r="P6" s="84">
        <v>516.26</v>
      </c>
      <c r="Q6" s="103">
        <f t="shared" ref="Q6:Q14" si="0">F6*(J6+M6+P6)</f>
        <v>2660.12</v>
      </c>
      <c r="R6" s="104">
        <f t="shared" ref="R6:R27" si="1">Q6/1.08</f>
        <v>2463.0740740740739</v>
      </c>
      <c r="S6" s="107">
        <f t="shared" ref="S6:S27" si="2">F6*P6</f>
        <v>1032.52</v>
      </c>
      <c r="T6" s="114">
        <f t="shared" ref="T6:T27" si="3">F6*N6</f>
        <v>956.04</v>
      </c>
      <c r="U6" s="141">
        <v>0</v>
      </c>
      <c r="V6" s="142">
        <v>0</v>
      </c>
      <c r="W6" s="141">
        <v>0</v>
      </c>
      <c r="X6" s="142">
        <v>0</v>
      </c>
    </row>
    <row r="7" spans="1:24" ht="45" x14ac:dyDescent="0.25">
      <c r="A7" s="44">
        <v>3</v>
      </c>
      <c r="B7" s="45" t="s">
        <v>97</v>
      </c>
      <c r="C7" s="45" t="s">
        <v>90</v>
      </c>
      <c r="D7" s="46" t="s">
        <v>91</v>
      </c>
      <c r="E7" s="41" t="s">
        <v>92</v>
      </c>
      <c r="F7" s="45">
        <v>3</v>
      </c>
      <c r="G7" s="47" t="s">
        <v>93</v>
      </c>
      <c r="H7" s="76">
        <v>464.8</v>
      </c>
      <c r="I7" s="78">
        <v>0.08</v>
      </c>
      <c r="J7" s="77">
        <v>501.98</v>
      </c>
      <c r="K7" s="80">
        <v>322.32</v>
      </c>
      <c r="L7" s="78">
        <v>0.08</v>
      </c>
      <c r="M7" s="77">
        <v>348.1</v>
      </c>
      <c r="N7" s="76">
        <v>478.02</v>
      </c>
      <c r="O7" s="78">
        <v>0.08</v>
      </c>
      <c r="P7" s="84">
        <v>516.26</v>
      </c>
      <c r="Q7" s="76">
        <f t="shared" si="0"/>
        <v>4099.0200000000004</v>
      </c>
      <c r="R7" s="77">
        <f t="shared" si="1"/>
        <v>3795.3888888888891</v>
      </c>
      <c r="S7" s="108">
        <f t="shared" si="2"/>
        <v>1548.78</v>
      </c>
      <c r="T7" s="115">
        <f t="shared" si="3"/>
        <v>1434.06</v>
      </c>
      <c r="U7" s="141">
        <f>Q7</f>
        <v>4099.0200000000004</v>
      </c>
      <c r="V7" s="142">
        <f>R7</f>
        <v>3795.3888888888891</v>
      </c>
      <c r="W7" s="141">
        <f>F7*P7</f>
        <v>1548.78</v>
      </c>
      <c r="X7" s="142">
        <f>F7*N7</f>
        <v>1434.06</v>
      </c>
    </row>
    <row r="8" spans="1:24" ht="45" x14ac:dyDescent="0.25">
      <c r="A8" s="44">
        <v>4</v>
      </c>
      <c r="B8" s="45" t="s">
        <v>98</v>
      </c>
      <c r="C8" s="45" t="s">
        <v>90</v>
      </c>
      <c r="D8" s="46" t="s">
        <v>91</v>
      </c>
      <c r="E8" s="41" t="s">
        <v>92</v>
      </c>
      <c r="F8" s="45">
        <v>6</v>
      </c>
      <c r="G8" s="47" t="s">
        <v>93</v>
      </c>
      <c r="H8" s="76">
        <v>464.8</v>
      </c>
      <c r="I8" s="78">
        <v>0.08</v>
      </c>
      <c r="J8" s="77">
        <v>501.98</v>
      </c>
      <c r="K8" s="80">
        <v>322.32</v>
      </c>
      <c r="L8" s="78">
        <v>0.08</v>
      </c>
      <c r="M8" s="77">
        <v>348.1</v>
      </c>
      <c r="N8" s="76">
        <v>478.02</v>
      </c>
      <c r="O8" s="78">
        <v>0.08</v>
      </c>
      <c r="P8" s="84">
        <v>516.26</v>
      </c>
      <c r="Q8" s="103">
        <f t="shared" si="0"/>
        <v>8198.0400000000009</v>
      </c>
      <c r="R8" s="104">
        <f t="shared" si="1"/>
        <v>7590.7777777777783</v>
      </c>
      <c r="S8" s="107">
        <f t="shared" si="2"/>
        <v>3097.56</v>
      </c>
      <c r="T8" s="114">
        <f t="shared" si="3"/>
        <v>2868.12</v>
      </c>
      <c r="U8" s="141">
        <v>0</v>
      </c>
      <c r="V8" s="142">
        <v>0</v>
      </c>
      <c r="W8" s="141">
        <v>0</v>
      </c>
      <c r="X8" s="142">
        <v>0</v>
      </c>
    </row>
    <row r="9" spans="1:24" ht="45" x14ac:dyDescent="0.25">
      <c r="A9" s="44">
        <v>5</v>
      </c>
      <c r="B9" s="45" t="s">
        <v>99</v>
      </c>
      <c r="C9" s="45" t="s">
        <v>90</v>
      </c>
      <c r="D9" s="46" t="s">
        <v>91</v>
      </c>
      <c r="E9" s="41" t="s">
        <v>92</v>
      </c>
      <c r="F9" s="45">
        <v>4</v>
      </c>
      <c r="G9" s="47" t="s">
        <v>93</v>
      </c>
      <c r="H9" s="76">
        <v>464.8</v>
      </c>
      <c r="I9" s="78">
        <v>0.08</v>
      </c>
      <c r="J9" s="77">
        <v>501.98</v>
      </c>
      <c r="K9" s="80">
        <v>322.32</v>
      </c>
      <c r="L9" s="78">
        <v>0.08</v>
      </c>
      <c r="M9" s="77">
        <v>348.1</v>
      </c>
      <c r="N9" s="76">
        <v>478.02</v>
      </c>
      <c r="O9" s="78">
        <v>0.08</v>
      </c>
      <c r="P9" s="84">
        <v>516.26</v>
      </c>
      <c r="Q9" s="76">
        <f t="shared" si="0"/>
        <v>5465.3600000000006</v>
      </c>
      <c r="R9" s="77">
        <f t="shared" si="1"/>
        <v>5060.5185185185192</v>
      </c>
      <c r="S9" s="108">
        <f t="shared" si="2"/>
        <v>2065.04</v>
      </c>
      <c r="T9" s="115">
        <f t="shared" si="3"/>
        <v>1912.08</v>
      </c>
      <c r="U9" s="141">
        <f>Q9</f>
        <v>5465.3600000000006</v>
      </c>
      <c r="V9" s="142">
        <f>R9</f>
        <v>5060.5185185185192</v>
      </c>
      <c r="W9" s="141">
        <f>F9*P9</f>
        <v>2065.04</v>
      </c>
      <c r="X9" s="142">
        <f>F9*N9</f>
        <v>1912.08</v>
      </c>
    </row>
    <row r="10" spans="1:24" ht="45" x14ac:dyDescent="0.25">
      <c r="A10" s="44">
        <v>6</v>
      </c>
      <c r="B10" s="45" t="s">
        <v>100</v>
      </c>
      <c r="C10" s="45" t="s">
        <v>101</v>
      </c>
      <c r="D10" s="46" t="s">
        <v>91</v>
      </c>
      <c r="E10" s="41" t="s">
        <v>92</v>
      </c>
      <c r="F10" s="45">
        <v>6</v>
      </c>
      <c r="G10" s="47" t="s">
        <v>93</v>
      </c>
      <c r="H10" s="76">
        <v>700</v>
      </c>
      <c r="I10" s="78">
        <v>0.08</v>
      </c>
      <c r="J10" s="77">
        <v>756</v>
      </c>
      <c r="K10" s="80">
        <v>322.32</v>
      </c>
      <c r="L10" s="78">
        <v>0.08</v>
      </c>
      <c r="M10" s="77">
        <v>348.1</v>
      </c>
      <c r="N10" s="76">
        <v>478.02</v>
      </c>
      <c r="O10" s="78">
        <v>0.08</v>
      </c>
      <c r="P10" s="84">
        <v>516.26</v>
      </c>
      <c r="Q10" s="103">
        <f t="shared" si="0"/>
        <v>9722.16</v>
      </c>
      <c r="R10" s="104">
        <f t="shared" si="1"/>
        <v>9002</v>
      </c>
      <c r="S10" s="107">
        <f t="shared" si="2"/>
        <v>3097.56</v>
      </c>
      <c r="T10" s="114">
        <f t="shared" si="3"/>
        <v>2868.12</v>
      </c>
      <c r="U10" s="141">
        <v>0</v>
      </c>
      <c r="V10" s="142">
        <v>0</v>
      </c>
      <c r="W10" s="141">
        <v>0</v>
      </c>
      <c r="X10" s="142">
        <v>0</v>
      </c>
    </row>
    <row r="11" spans="1:24" ht="45" x14ac:dyDescent="0.25">
      <c r="A11" s="48">
        <v>7</v>
      </c>
      <c r="B11" s="45" t="s">
        <v>102</v>
      </c>
      <c r="C11" s="45" t="s">
        <v>103</v>
      </c>
      <c r="D11" s="46" t="s">
        <v>96</v>
      </c>
      <c r="E11" s="41" t="s">
        <v>92</v>
      </c>
      <c r="F11" s="49">
        <v>4</v>
      </c>
      <c r="G11" s="47" t="s">
        <v>93</v>
      </c>
      <c r="H11" s="76">
        <v>957.6</v>
      </c>
      <c r="I11" s="78">
        <v>0.08</v>
      </c>
      <c r="J11" s="77">
        <v>1034.21</v>
      </c>
      <c r="K11" s="80">
        <v>322.32</v>
      </c>
      <c r="L11" s="78">
        <v>0.08</v>
      </c>
      <c r="M11" s="77">
        <v>348.1</v>
      </c>
      <c r="N11" s="76">
        <v>478.02</v>
      </c>
      <c r="O11" s="78">
        <v>0.08</v>
      </c>
      <c r="P11" s="84">
        <v>516.26</v>
      </c>
      <c r="Q11" s="76">
        <f t="shared" si="0"/>
        <v>7594.28</v>
      </c>
      <c r="R11" s="77">
        <f t="shared" si="1"/>
        <v>7031.74074074074</v>
      </c>
      <c r="S11" s="108">
        <f t="shared" si="2"/>
        <v>2065.04</v>
      </c>
      <c r="T11" s="115">
        <f t="shared" si="3"/>
        <v>1912.08</v>
      </c>
      <c r="U11" s="141">
        <f>Q11</f>
        <v>7594.28</v>
      </c>
      <c r="V11" s="142">
        <f>R11</f>
        <v>7031.74074074074</v>
      </c>
      <c r="W11" s="141">
        <f>F11*P11</f>
        <v>2065.04</v>
      </c>
      <c r="X11" s="142">
        <f>F11*N11</f>
        <v>1912.08</v>
      </c>
    </row>
    <row r="12" spans="1:24" ht="45" x14ac:dyDescent="0.25">
      <c r="A12" s="48">
        <v>8</v>
      </c>
      <c r="B12" s="45" t="s">
        <v>99</v>
      </c>
      <c r="C12" s="45" t="s">
        <v>104</v>
      </c>
      <c r="D12" s="46" t="s">
        <v>105</v>
      </c>
      <c r="E12" s="41" t="s">
        <v>92</v>
      </c>
      <c r="F12" s="49">
        <v>9</v>
      </c>
      <c r="G12" s="47" t="s">
        <v>93</v>
      </c>
      <c r="H12" s="76">
        <v>442.4</v>
      </c>
      <c r="I12" s="78">
        <v>0.08</v>
      </c>
      <c r="J12" s="77">
        <v>477.79</v>
      </c>
      <c r="K12" s="80">
        <v>322.32</v>
      </c>
      <c r="L12" s="78">
        <v>0.08</v>
      </c>
      <c r="M12" s="77">
        <v>348.1</v>
      </c>
      <c r="N12" s="76">
        <v>478.02</v>
      </c>
      <c r="O12" s="78">
        <v>0.08</v>
      </c>
      <c r="P12" s="84">
        <v>516.26</v>
      </c>
      <c r="Q12" s="103">
        <f t="shared" si="0"/>
        <v>12079.35</v>
      </c>
      <c r="R12" s="104">
        <f t="shared" si="1"/>
        <v>11184.583333333332</v>
      </c>
      <c r="S12" s="107">
        <f t="shared" si="2"/>
        <v>4646.34</v>
      </c>
      <c r="T12" s="114">
        <f t="shared" si="3"/>
        <v>4302.18</v>
      </c>
      <c r="U12" s="141">
        <v>0</v>
      </c>
      <c r="V12" s="142">
        <v>0</v>
      </c>
      <c r="W12" s="141">
        <v>0</v>
      </c>
      <c r="X12" s="142">
        <v>0</v>
      </c>
    </row>
    <row r="13" spans="1:24" ht="45" x14ac:dyDescent="0.25">
      <c r="A13" s="48">
        <v>9</v>
      </c>
      <c r="B13" s="45" t="s">
        <v>106</v>
      </c>
      <c r="C13" s="45" t="s">
        <v>103</v>
      </c>
      <c r="D13" s="46" t="s">
        <v>91</v>
      </c>
      <c r="E13" s="41" t="s">
        <v>92</v>
      </c>
      <c r="F13" s="49">
        <v>2</v>
      </c>
      <c r="G13" s="47" t="s">
        <v>93</v>
      </c>
      <c r="H13" s="76">
        <v>957.6</v>
      </c>
      <c r="I13" s="78">
        <v>0.08</v>
      </c>
      <c r="J13" s="77">
        <v>1034.21</v>
      </c>
      <c r="K13" s="80">
        <v>322.32</v>
      </c>
      <c r="L13" s="78">
        <v>0.08</v>
      </c>
      <c r="M13" s="77">
        <v>348.1</v>
      </c>
      <c r="N13" s="76">
        <v>478.02</v>
      </c>
      <c r="O13" s="78">
        <v>0.08</v>
      </c>
      <c r="P13" s="84">
        <v>516.26</v>
      </c>
      <c r="Q13" s="76">
        <f t="shared" si="0"/>
        <v>3797.14</v>
      </c>
      <c r="R13" s="77">
        <f t="shared" si="1"/>
        <v>3515.87037037037</v>
      </c>
      <c r="S13" s="108">
        <f t="shared" si="2"/>
        <v>1032.52</v>
      </c>
      <c r="T13" s="115">
        <f t="shared" si="3"/>
        <v>956.04</v>
      </c>
      <c r="U13" s="141">
        <f t="shared" ref="U13:U22" si="4">Q13</f>
        <v>3797.14</v>
      </c>
      <c r="V13" s="142">
        <f t="shared" ref="V13:V22" si="5">R13</f>
        <v>3515.87037037037</v>
      </c>
      <c r="W13" s="141">
        <f>F13*P13</f>
        <v>1032.52</v>
      </c>
      <c r="X13" s="142">
        <f>F13*N13</f>
        <v>956.04</v>
      </c>
    </row>
    <row r="14" spans="1:24" ht="45" x14ac:dyDescent="0.25">
      <c r="A14" s="48">
        <v>10</v>
      </c>
      <c r="B14" s="45" t="s">
        <v>107</v>
      </c>
      <c r="C14" s="45" t="s">
        <v>108</v>
      </c>
      <c r="D14" s="46" t="s">
        <v>91</v>
      </c>
      <c r="E14" s="41" t="s">
        <v>92</v>
      </c>
      <c r="F14" s="49">
        <v>3</v>
      </c>
      <c r="G14" s="47" t="s">
        <v>93</v>
      </c>
      <c r="H14" s="76">
        <v>448</v>
      </c>
      <c r="I14" s="78">
        <v>0.08</v>
      </c>
      <c r="J14" s="77">
        <v>483.84</v>
      </c>
      <c r="K14" s="80">
        <v>322.32</v>
      </c>
      <c r="L14" s="78">
        <v>0.08</v>
      </c>
      <c r="M14" s="77">
        <v>348.1</v>
      </c>
      <c r="N14" s="76">
        <v>478.02</v>
      </c>
      <c r="O14" s="78">
        <v>0.08</v>
      </c>
      <c r="P14" s="84">
        <v>516.26</v>
      </c>
      <c r="Q14" s="76">
        <f t="shared" si="0"/>
        <v>4044.6000000000004</v>
      </c>
      <c r="R14" s="77">
        <f t="shared" si="1"/>
        <v>3745</v>
      </c>
      <c r="S14" s="108">
        <f t="shared" si="2"/>
        <v>1548.78</v>
      </c>
      <c r="T14" s="115">
        <f t="shared" si="3"/>
        <v>1434.06</v>
      </c>
      <c r="U14" s="141">
        <f t="shared" si="4"/>
        <v>4044.6000000000004</v>
      </c>
      <c r="V14" s="142">
        <f t="shared" si="5"/>
        <v>3745</v>
      </c>
      <c r="W14" s="141">
        <f t="shared" ref="W14:W22" si="6">F14*P14</f>
        <v>1548.78</v>
      </c>
      <c r="X14" s="142">
        <f t="shared" ref="X14:X22" si="7">F14*N14</f>
        <v>1434.06</v>
      </c>
    </row>
    <row r="15" spans="1:24" ht="45" x14ac:dyDescent="0.25">
      <c r="A15" s="48">
        <v>11</v>
      </c>
      <c r="B15" s="45" t="s">
        <v>109</v>
      </c>
      <c r="C15" s="45" t="s">
        <v>103</v>
      </c>
      <c r="D15" s="46" t="s">
        <v>91</v>
      </c>
      <c r="E15" s="41" t="s">
        <v>92</v>
      </c>
      <c r="F15" s="49">
        <v>3</v>
      </c>
      <c r="G15" s="47" t="s">
        <v>93</v>
      </c>
      <c r="H15" s="76">
        <v>957.6</v>
      </c>
      <c r="I15" s="78">
        <v>0.08</v>
      </c>
      <c r="J15" s="77">
        <v>1034.21</v>
      </c>
      <c r="K15" s="80">
        <v>322.32</v>
      </c>
      <c r="L15" s="78">
        <v>0.08</v>
      </c>
      <c r="M15" s="77">
        <v>348.1</v>
      </c>
      <c r="N15" s="76">
        <v>478.02</v>
      </c>
      <c r="O15" s="78">
        <v>0.08</v>
      </c>
      <c r="P15" s="84">
        <v>516.26</v>
      </c>
      <c r="Q15" s="76">
        <f t="shared" ref="Q15:Q22" si="8">F15*(J15+M15+P15)</f>
        <v>5695.71</v>
      </c>
      <c r="R15" s="77">
        <f t="shared" si="1"/>
        <v>5273.8055555555557</v>
      </c>
      <c r="S15" s="108">
        <f t="shared" si="2"/>
        <v>1548.78</v>
      </c>
      <c r="T15" s="115">
        <f t="shared" si="3"/>
        <v>1434.06</v>
      </c>
      <c r="U15" s="141">
        <f t="shared" si="4"/>
        <v>5695.71</v>
      </c>
      <c r="V15" s="142">
        <f t="shared" si="5"/>
        <v>5273.8055555555557</v>
      </c>
      <c r="W15" s="141">
        <f t="shared" si="6"/>
        <v>1548.78</v>
      </c>
      <c r="X15" s="142">
        <f t="shared" si="7"/>
        <v>1434.06</v>
      </c>
    </row>
    <row r="16" spans="1:24" ht="45" x14ac:dyDescent="0.25">
      <c r="A16" s="48">
        <v>12</v>
      </c>
      <c r="B16" s="45" t="s">
        <v>110</v>
      </c>
      <c r="C16" s="45" t="s">
        <v>108</v>
      </c>
      <c r="D16" s="46" t="s">
        <v>91</v>
      </c>
      <c r="E16" s="41" t="s">
        <v>92</v>
      </c>
      <c r="F16" s="49">
        <v>18</v>
      </c>
      <c r="G16" s="47" t="s">
        <v>93</v>
      </c>
      <c r="H16" s="76">
        <v>448</v>
      </c>
      <c r="I16" s="78">
        <v>0.08</v>
      </c>
      <c r="J16" s="77">
        <v>483.84</v>
      </c>
      <c r="K16" s="80">
        <v>322.32</v>
      </c>
      <c r="L16" s="78">
        <v>0.08</v>
      </c>
      <c r="M16" s="77">
        <v>348.1</v>
      </c>
      <c r="N16" s="76">
        <v>478.02</v>
      </c>
      <c r="O16" s="78">
        <v>0.08</v>
      </c>
      <c r="P16" s="84">
        <v>516.26</v>
      </c>
      <c r="Q16" s="76">
        <f t="shared" si="8"/>
        <v>24267.600000000002</v>
      </c>
      <c r="R16" s="77">
        <f t="shared" si="1"/>
        <v>22470</v>
      </c>
      <c r="S16" s="108">
        <f t="shared" si="2"/>
        <v>9292.68</v>
      </c>
      <c r="T16" s="115">
        <f t="shared" si="3"/>
        <v>8604.36</v>
      </c>
      <c r="U16" s="141">
        <f t="shared" si="4"/>
        <v>24267.600000000002</v>
      </c>
      <c r="V16" s="142">
        <f t="shared" si="5"/>
        <v>22470</v>
      </c>
      <c r="W16" s="141">
        <f t="shared" si="6"/>
        <v>9292.68</v>
      </c>
      <c r="X16" s="142">
        <f t="shared" si="7"/>
        <v>8604.36</v>
      </c>
    </row>
    <row r="17" spans="1:24" ht="30" x14ac:dyDescent="0.25">
      <c r="A17" s="48">
        <v>13</v>
      </c>
      <c r="B17" s="45" t="s">
        <v>111</v>
      </c>
      <c r="C17" s="45" t="s">
        <v>112</v>
      </c>
      <c r="D17" s="46" t="s">
        <v>113</v>
      </c>
      <c r="E17" s="41" t="s">
        <v>92</v>
      </c>
      <c r="F17" s="49">
        <v>2</v>
      </c>
      <c r="G17" s="47" t="s">
        <v>93</v>
      </c>
      <c r="H17" s="76">
        <v>600</v>
      </c>
      <c r="I17" s="78">
        <v>0.08</v>
      </c>
      <c r="J17" s="77">
        <v>648</v>
      </c>
      <c r="K17" s="80">
        <v>322.32</v>
      </c>
      <c r="L17" s="78">
        <v>0.08</v>
      </c>
      <c r="M17" s="77">
        <v>348.1</v>
      </c>
      <c r="N17" s="76">
        <v>478.02</v>
      </c>
      <c r="O17" s="78">
        <v>0.08</v>
      </c>
      <c r="P17" s="84">
        <v>516.26</v>
      </c>
      <c r="Q17" s="76">
        <f t="shared" si="8"/>
        <v>3024.7200000000003</v>
      </c>
      <c r="R17" s="77">
        <f t="shared" si="1"/>
        <v>2800.6666666666665</v>
      </c>
      <c r="S17" s="108">
        <f t="shared" si="2"/>
        <v>1032.52</v>
      </c>
      <c r="T17" s="115">
        <f t="shared" si="3"/>
        <v>956.04</v>
      </c>
      <c r="U17" s="141">
        <f t="shared" si="4"/>
        <v>3024.7200000000003</v>
      </c>
      <c r="V17" s="142">
        <f t="shared" si="5"/>
        <v>2800.6666666666665</v>
      </c>
      <c r="W17" s="141">
        <f t="shared" si="6"/>
        <v>1032.52</v>
      </c>
      <c r="X17" s="142">
        <f t="shared" si="7"/>
        <v>956.04</v>
      </c>
    </row>
    <row r="18" spans="1:24" ht="30" x14ac:dyDescent="0.25">
      <c r="A18" s="48">
        <v>14</v>
      </c>
      <c r="B18" s="45" t="s">
        <v>114</v>
      </c>
      <c r="C18" s="45" t="s">
        <v>115</v>
      </c>
      <c r="D18" s="46" t="s">
        <v>116</v>
      </c>
      <c r="E18" s="41" t="s">
        <v>92</v>
      </c>
      <c r="F18" s="49">
        <v>13</v>
      </c>
      <c r="G18" s="47" t="s">
        <v>93</v>
      </c>
      <c r="H18" s="76">
        <v>100</v>
      </c>
      <c r="I18" s="78">
        <v>0.08</v>
      </c>
      <c r="J18" s="77">
        <v>108</v>
      </c>
      <c r="K18" s="80">
        <v>322.32</v>
      </c>
      <c r="L18" s="78">
        <v>0.08</v>
      </c>
      <c r="M18" s="77">
        <v>348.1</v>
      </c>
      <c r="N18" s="76">
        <v>478.02</v>
      </c>
      <c r="O18" s="78">
        <v>0.08</v>
      </c>
      <c r="P18" s="84">
        <v>516.26</v>
      </c>
      <c r="Q18" s="76">
        <f t="shared" si="8"/>
        <v>12640.68</v>
      </c>
      <c r="R18" s="77">
        <f t="shared" si="1"/>
        <v>11704.333333333332</v>
      </c>
      <c r="S18" s="108">
        <f t="shared" si="2"/>
        <v>6711.38</v>
      </c>
      <c r="T18" s="115">
        <f t="shared" si="3"/>
        <v>6214.26</v>
      </c>
      <c r="U18" s="141">
        <f t="shared" si="4"/>
        <v>12640.68</v>
      </c>
      <c r="V18" s="142">
        <f t="shared" si="5"/>
        <v>11704.333333333332</v>
      </c>
      <c r="W18" s="141">
        <f t="shared" si="6"/>
        <v>6711.38</v>
      </c>
      <c r="X18" s="142">
        <f t="shared" si="7"/>
        <v>6214.26</v>
      </c>
    </row>
    <row r="19" spans="1:24" ht="30" x14ac:dyDescent="0.25">
      <c r="A19" s="48">
        <v>15</v>
      </c>
      <c r="B19" s="45" t="s">
        <v>117</v>
      </c>
      <c r="C19" s="45" t="s">
        <v>118</v>
      </c>
      <c r="D19" s="46" t="s">
        <v>119</v>
      </c>
      <c r="E19" s="41" t="s">
        <v>92</v>
      </c>
      <c r="F19" s="49">
        <v>2</v>
      </c>
      <c r="G19" s="47" t="s">
        <v>93</v>
      </c>
      <c r="H19" s="76">
        <v>600</v>
      </c>
      <c r="I19" s="78">
        <v>0.08</v>
      </c>
      <c r="J19" s="77">
        <v>648</v>
      </c>
      <c r="K19" s="80">
        <v>322.32</v>
      </c>
      <c r="L19" s="78">
        <v>0.08</v>
      </c>
      <c r="M19" s="77">
        <v>348.1</v>
      </c>
      <c r="N19" s="76">
        <v>478.02</v>
      </c>
      <c r="O19" s="78">
        <v>0.08</v>
      </c>
      <c r="P19" s="84">
        <v>516.26</v>
      </c>
      <c r="Q19" s="76">
        <f t="shared" si="8"/>
        <v>3024.7200000000003</v>
      </c>
      <c r="R19" s="77">
        <f t="shared" si="1"/>
        <v>2800.6666666666665</v>
      </c>
      <c r="S19" s="108">
        <f t="shared" si="2"/>
        <v>1032.52</v>
      </c>
      <c r="T19" s="115">
        <f t="shared" si="3"/>
        <v>956.04</v>
      </c>
      <c r="U19" s="141">
        <f t="shared" si="4"/>
        <v>3024.7200000000003</v>
      </c>
      <c r="V19" s="142">
        <f t="shared" si="5"/>
        <v>2800.6666666666665</v>
      </c>
      <c r="W19" s="141">
        <f t="shared" si="6"/>
        <v>1032.52</v>
      </c>
      <c r="X19" s="142">
        <f t="shared" si="7"/>
        <v>956.04</v>
      </c>
    </row>
    <row r="20" spans="1:24" ht="30" x14ac:dyDescent="0.25">
      <c r="A20" s="44">
        <v>16</v>
      </c>
      <c r="B20" s="45" t="s">
        <v>120</v>
      </c>
      <c r="C20" s="45" t="s">
        <v>121</v>
      </c>
      <c r="D20" s="46" t="s">
        <v>113</v>
      </c>
      <c r="E20" s="41" t="s">
        <v>92</v>
      </c>
      <c r="F20" s="49">
        <v>3</v>
      </c>
      <c r="G20" s="47" t="s">
        <v>93</v>
      </c>
      <c r="H20" s="76">
        <v>600</v>
      </c>
      <c r="I20" s="78">
        <v>0.08</v>
      </c>
      <c r="J20" s="77">
        <v>648</v>
      </c>
      <c r="K20" s="80">
        <v>322.32</v>
      </c>
      <c r="L20" s="78">
        <v>0.08</v>
      </c>
      <c r="M20" s="77">
        <v>348.1</v>
      </c>
      <c r="N20" s="76">
        <v>478.02</v>
      </c>
      <c r="O20" s="78">
        <v>0.08</v>
      </c>
      <c r="P20" s="84">
        <v>516.26</v>
      </c>
      <c r="Q20" s="76">
        <f t="shared" si="8"/>
        <v>4537.08</v>
      </c>
      <c r="R20" s="77">
        <f t="shared" si="1"/>
        <v>4201</v>
      </c>
      <c r="S20" s="108">
        <f t="shared" si="2"/>
        <v>1548.78</v>
      </c>
      <c r="T20" s="115">
        <f t="shared" si="3"/>
        <v>1434.06</v>
      </c>
      <c r="U20" s="141">
        <f t="shared" si="4"/>
        <v>4537.08</v>
      </c>
      <c r="V20" s="142">
        <f t="shared" si="5"/>
        <v>4201</v>
      </c>
      <c r="W20" s="141">
        <f t="shared" si="6"/>
        <v>1548.78</v>
      </c>
      <c r="X20" s="142">
        <f t="shared" si="7"/>
        <v>1434.06</v>
      </c>
    </row>
    <row r="21" spans="1:24" ht="45" x14ac:dyDescent="0.25">
      <c r="A21" s="44">
        <v>17</v>
      </c>
      <c r="B21" s="45" t="s">
        <v>122</v>
      </c>
      <c r="C21" s="45" t="s">
        <v>123</v>
      </c>
      <c r="D21" s="46" t="s">
        <v>91</v>
      </c>
      <c r="E21" s="41" t="s">
        <v>92</v>
      </c>
      <c r="F21" s="49">
        <v>9</v>
      </c>
      <c r="G21" s="47" t="s">
        <v>93</v>
      </c>
      <c r="H21" s="76">
        <v>728</v>
      </c>
      <c r="I21" s="78">
        <v>0.08</v>
      </c>
      <c r="J21" s="77">
        <v>786.24</v>
      </c>
      <c r="K21" s="80">
        <v>322.32</v>
      </c>
      <c r="L21" s="78">
        <v>0.08</v>
      </c>
      <c r="M21" s="77">
        <v>348.1</v>
      </c>
      <c r="N21" s="76">
        <v>478.02</v>
      </c>
      <c r="O21" s="78">
        <v>0.08</v>
      </c>
      <c r="P21" s="84">
        <v>516.26</v>
      </c>
      <c r="Q21" s="76">
        <f t="shared" si="8"/>
        <v>14855.400000000001</v>
      </c>
      <c r="R21" s="77">
        <f t="shared" si="1"/>
        <v>13755</v>
      </c>
      <c r="S21" s="108">
        <f t="shared" si="2"/>
        <v>4646.34</v>
      </c>
      <c r="T21" s="115">
        <f t="shared" si="3"/>
        <v>4302.18</v>
      </c>
      <c r="U21" s="141">
        <f t="shared" si="4"/>
        <v>14855.400000000001</v>
      </c>
      <c r="V21" s="142">
        <f t="shared" si="5"/>
        <v>13755</v>
      </c>
      <c r="W21" s="141">
        <f t="shared" si="6"/>
        <v>4646.34</v>
      </c>
      <c r="X21" s="142">
        <f t="shared" si="7"/>
        <v>4302.18</v>
      </c>
    </row>
    <row r="22" spans="1:24" ht="45" x14ac:dyDescent="0.25">
      <c r="A22" s="44">
        <v>18</v>
      </c>
      <c r="B22" s="45" t="s">
        <v>122</v>
      </c>
      <c r="C22" s="45" t="s">
        <v>124</v>
      </c>
      <c r="D22" s="46" t="s">
        <v>91</v>
      </c>
      <c r="E22" s="41" t="s">
        <v>92</v>
      </c>
      <c r="F22" s="49">
        <v>7</v>
      </c>
      <c r="G22" s="47" t="s">
        <v>93</v>
      </c>
      <c r="H22" s="76">
        <v>650</v>
      </c>
      <c r="I22" s="78">
        <v>0.08</v>
      </c>
      <c r="J22" s="77">
        <v>702</v>
      </c>
      <c r="K22" s="80">
        <v>322.32</v>
      </c>
      <c r="L22" s="78">
        <v>0.08</v>
      </c>
      <c r="M22" s="77">
        <v>348.1</v>
      </c>
      <c r="N22" s="76">
        <v>478.02</v>
      </c>
      <c r="O22" s="78">
        <v>0.08</v>
      </c>
      <c r="P22" s="84">
        <v>516.26</v>
      </c>
      <c r="Q22" s="76">
        <f t="shared" si="8"/>
        <v>10964.519999999999</v>
      </c>
      <c r="R22" s="77">
        <f t="shared" si="1"/>
        <v>10152.333333333332</v>
      </c>
      <c r="S22" s="108">
        <f t="shared" si="2"/>
        <v>3613.8199999999997</v>
      </c>
      <c r="T22" s="115">
        <f t="shared" si="3"/>
        <v>3346.14</v>
      </c>
      <c r="U22" s="141">
        <f t="shared" si="4"/>
        <v>10964.519999999999</v>
      </c>
      <c r="V22" s="142">
        <f t="shared" si="5"/>
        <v>10152.333333333332</v>
      </c>
      <c r="W22" s="141">
        <f t="shared" si="6"/>
        <v>3613.8199999999997</v>
      </c>
      <c r="X22" s="142">
        <f t="shared" si="7"/>
        <v>3346.14</v>
      </c>
    </row>
    <row r="23" spans="1:24" ht="45" x14ac:dyDescent="0.25">
      <c r="A23" s="44">
        <v>19</v>
      </c>
      <c r="B23" s="45" t="s">
        <v>125</v>
      </c>
      <c r="C23" s="45" t="s">
        <v>90</v>
      </c>
      <c r="D23" s="46" t="s">
        <v>91</v>
      </c>
      <c r="E23" s="41" t="s">
        <v>92</v>
      </c>
      <c r="F23" s="45">
        <v>5</v>
      </c>
      <c r="G23" s="47" t="s">
        <v>93</v>
      </c>
      <c r="H23" s="76">
        <v>464.8</v>
      </c>
      <c r="I23" s="78">
        <v>0.08</v>
      </c>
      <c r="J23" s="77">
        <v>501.98</v>
      </c>
      <c r="K23" s="80">
        <v>322.32</v>
      </c>
      <c r="L23" s="78">
        <v>0.08</v>
      </c>
      <c r="M23" s="77">
        <v>348.1</v>
      </c>
      <c r="N23" s="76">
        <v>478.02</v>
      </c>
      <c r="O23" s="78">
        <v>0.08</v>
      </c>
      <c r="P23" s="84">
        <v>516.26</v>
      </c>
      <c r="Q23" s="103">
        <f>F23*(J23+M23+P23)</f>
        <v>6831.7000000000007</v>
      </c>
      <c r="R23" s="104">
        <f t="shared" si="1"/>
        <v>6325.6481481481487</v>
      </c>
      <c r="S23" s="107">
        <f>1*P23</f>
        <v>516.26</v>
      </c>
      <c r="T23" s="114">
        <f>1*N23</f>
        <v>478.02</v>
      </c>
      <c r="U23" s="141">
        <f>1*(J23+M23+P23)</f>
        <v>1366.3400000000001</v>
      </c>
      <c r="V23" s="142">
        <f>U23/1.08</f>
        <v>1265.1296296296298</v>
      </c>
      <c r="W23" s="141">
        <f>1*P23</f>
        <v>516.26</v>
      </c>
      <c r="X23" s="142">
        <f>1*N23</f>
        <v>478.02</v>
      </c>
    </row>
    <row r="24" spans="1:24" ht="45" x14ac:dyDescent="0.25">
      <c r="A24" s="44">
        <v>20</v>
      </c>
      <c r="B24" s="264" t="s">
        <v>126</v>
      </c>
      <c r="C24" s="45" t="s">
        <v>127</v>
      </c>
      <c r="D24" s="46" t="s">
        <v>128</v>
      </c>
      <c r="E24" s="41" t="s">
        <v>92</v>
      </c>
      <c r="F24" s="49">
        <v>3</v>
      </c>
      <c r="G24" s="47" t="s">
        <v>93</v>
      </c>
      <c r="H24" s="76">
        <v>879.2</v>
      </c>
      <c r="I24" s="78">
        <v>0.08</v>
      </c>
      <c r="J24" s="77">
        <v>949.54</v>
      </c>
      <c r="K24" s="80">
        <v>322.32</v>
      </c>
      <c r="L24" s="78">
        <v>0.08</v>
      </c>
      <c r="M24" s="77">
        <v>348.1</v>
      </c>
      <c r="N24" s="76">
        <v>478.02</v>
      </c>
      <c r="O24" s="78">
        <v>0.08</v>
      </c>
      <c r="P24" s="84">
        <v>516.26</v>
      </c>
      <c r="Q24" s="76">
        <f>F24*(J24+M24+P24)</f>
        <v>5441.7</v>
      </c>
      <c r="R24" s="77">
        <f t="shared" si="1"/>
        <v>5038.6111111111104</v>
      </c>
      <c r="S24" s="108">
        <f t="shared" si="2"/>
        <v>1548.78</v>
      </c>
      <c r="T24" s="115">
        <f t="shared" si="3"/>
        <v>1434.06</v>
      </c>
      <c r="U24" s="141">
        <f>Q24</f>
        <v>5441.7</v>
      </c>
      <c r="V24" s="142">
        <f>U24/1.08</f>
        <v>5038.6111111111104</v>
      </c>
      <c r="W24" s="141">
        <f>F24*P24</f>
        <v>1548.78</v>
      </c>
      <c r="X24" s="142">
        <f>F24*N24</f>
        <v>1434.06</v>
      </c>
    </row>
    <row r="25" spans="1:24" ht="45" x14ac:dyDescent="0.25">
      <c r="A25" s="44">
        <v>21</v>
      </c>
      <c r="B25" s="265"/>
      <c r="C25" s="45" t="s">
        <v>129</v>
      </c>
      <c r="D25" s="46" t="s">
        <v>128</v>
      </c>
      <c r="E25" s="41" t="s">
        <v>92</v>
      </c>
      <c r="F25" s="49">
        <v>1</v>
      </c>
      <c r="G25" s="47" t="s">
        <v>93</v>
      </c>
      <c r="H25" s="76">
        <v>666.4</v>
      </c>
      <c r="I25" s="78">
        <v>0.08</v>
      </c>
      <c r="J25" s="77">
        <v>719.72</v>
      </c>
      <c r="K25" s="80">
        <v>322.32</v>
      </c>
      <c r="L25" s="78">
        <v>0.08</v>
      </c>
      <c r="M25" s="77">
        <v>348.1</v>
      </c>
      <c r="N25" s="76">
        <v>478.02</v>
      </c>
      <c r="O25" s="78">
        <v>0.08</v>
      </c>
      <c r="P25" s="84">
        <v>516.26</v>
      </c>
      <c r="Q25" s="76">
        <f>F25*(J25+M25+P25)</f>
        <v>1584.0800000000002</v>
      </c>
      <c r="R25" s="77">
        <f t="shared" si="1"/>
        <v>1466.7407407407409</v>
      </c>
      <c r="S25" s="108">
        <f t="shared" si="2"/>
        <v>516.26</v>
      </c>
      <c r="T25" s="115">
        <f t="shared" si="3"/>
        <v>478.02</v>
      </c>
      <c r="U25" s="141">
        <f>Q25</f>
        <v>1584.0800000000002</v>
      </c>
      <c r="V25" s="142">
        <f>R25</f>
        <v>1466.7407407407409</v>
      </c>
      <c r="W25" s="141">
        <f>F25*P25</f>
        <v>516.26</v>
      </c>
      <c r="X25" s="142">
        <f>F25*N25</f>
        <v>478.02</v>
      </c>
    </row>
    <row r="26" spans="1:24" ht="45" x14ac:dyDescent="0.25">
      <c r="A26" s="44">
        <v>22</v>
      </c>
      <c r="B26" s="265"/>
      <c r="C26" s="45" t="s">
        <v>130</v>
      </c>
      <c r="D26" s="46" t="s">
        <v>128</v>
      </c>
      <c r="E26" s="41" t="s">
        <v>92</v>
      </c>
      <c r="F26" s="49">
        <v>1</v>
      </c>
      <c r="G26" s="47" t="s">
        <v>93</v>
      </c>
      <c r="H26" s="76">
        <v>750</v>
      </c>
      <c r="I26" s="78">
        <v>0.08</v>
      </c>
      <c r="J26" s="77">
        <v>810</v>
      </c>
      <c r="K26" s="80">
        <v>322.32</v>
      </c>
      <c r="L26" s="78">
        <v>0.08</v>
      </c>
      <c r="M26" s="77">
        <v>348.1</v>
      </c>
      <c r="N26" s="76">
        <v>478.02</v>
      </c>
      <c r="O26" s="78">
        <v>0.08</v>
      </c>
      <c r="P26" s="84">
        <v>516.26</v>
      </c>
      <c r="Q26" s="76">
        <f>F26*(J26+M26+P26)</f>
        <v>1674.36</v>
      </c>
      <c r="R26" s="77">
        <f t="shared" si="1"/>
        <v>1550.333333333333</v>
      </c>
      <c r="S26" s="108">
        <f t="shared" si="2"/>
        <v>516.26</v>
      </c>
      <c r="T26" s="115">
        <f t="shared" si="3"/>
        <v>478.02</v>
      </c>
      <c r="U26" s="141">
        <f>Q26</f>
        <v>1674.36</v>
      </c>
      <c r="V26" s="142">
        <f>R26</f>
        <v>1550.333333333333</v>
      </c>
      <c r="W26" s="141">
        <f>F26*P26</f>
        <v>516.26</v>
      </c>
      <c r="X26" s="142">
        <f>F26*N26</f>
        <v>478.02</v>
      </c>
    </row>
    <row r="27" spans="1:24" ht="45.75" thickBot="1" x14ac:dyDescent="0.3">
      <c r="A27" s="44">
        <v>23</v>
      </c>
      <c r="B27" s="266"/>
      <c r="C27" s="50" t="s">
        <v>131</v>
      </c>
      <c r="D27" s="52" t="s">
        <v>128</v>
      </c>
      <c r="E27" s="41" t="s">
        <v>92</v>
      </c>
      <c r="F27" s="53">
        <v>2</v>
      </c>
      <c r="G27" s="54" t="s">
        <v>93</v>
      </c>
      <c r="H27" s="82">
        <v>900</v>
      </c>
      <c r="I27" s="79">
        <v>0.08</v>
      </c>
      <c r="J27" s="83">
        <v>972</v>
      </c>
      <c r="K27" s="80">
        <v>322.32</v>
      </c>
      <c r="L27" s="78">
        <v>0.08</v>
      </c>
      <c r="M27" s="77">
        <v>348.1</v>
      </c>
      <c r="N27" s="76">
        <v>478.02</v>
      </c>
      <c r="O27" s="81">
        <v>0.08</v>
      </c>
      <c r="P27" s="84">
        <v>516.26</v>
      </c>
      <c r="Q27" s="76">
        <f>F27*(J27+M27+P27)</f>
        <v>3672.72</v>
      </c>
      <c r="R27" s="77">
        <f t="shared" si="1"/>
        <v>3400.6666666666661</v>
      </c>
      <c r="S27" s="108">
        <f t="shared" si="2"/>
        <v>1032.52</v>
      </c>
      <c r="T27" s="115">
        <f t="shared" si="3"/>
        <v>956.04</v>
      </c>
      <c r="U27" s="141">
        <f>Q27</f>
        <v>3672.72</v>
      </c>
      <c r="V27" s="142">
        <f>R27</f>
        <v>3400.6666666666661</v>
      </c>
      <c r="W27" s="141">
        <f>F27*P27</f>
        <v>1032.52</v>
      </c>
      <c r="X27" s="142">
        <f>F27*N27</f>
        <v>956.04</v>
      </c>
    </row>
    <row r="28" spans="1:24" ht="15.75" thickBot="1" x14ac:dyDescent="0.3">
      <c r="A28" s="267" t="s">
        <v>132</v>
      </c>
      <c r="B28" s="268"/>
      <c r="C28" s="268"/>
      <c r="D28" s="268"/>
      <c r="E28" s="51" t="s">
        <v>92</v>
      </c>
      <c r="F28" s="55">
        <f>SUM(F5:F27)</f>
        <v>121</v>
      </c>
      <c r="G28" s="56"/>
      <c r="H28" s="92"/>
      <c r="I28" s="93"/>
      <c r="J28" s="94"/>
      <c r="K28" s="95"/>
      <c r="L28" s="96"/>
      <c r="M28" s="97"/>
      <c r="N28" s="95"/>
      <c r="O28" s="96"/>
      <c r="P28" s="98"/>
      <c r="Q28" s="85">
        <f t="shared" ref="Q28:X28" si="9">SUM(Q5:Q27)</f>
        <v>173637.48000000004</v>
      </c>
      <c r="R28" s="60">
        <f t="shared" si="9"/>
        <v>160775.44444444447</v>
      </c>
      <c r="S28" s="109">
        <f t="shared" si="9"/>
        <v>60402.419999999991</v>
      </c>
      <c r="T28" s="116">
        <f t="shared" si="9"/>
        <v>55928.34</v>
      </c>
      <c r="U28" s="143">
        <f t="shared" si="9"/>
        <v>117750.03000000003</v>
      </c>
      <c r="V28" s="144">
        <f t="shared" si="9"/>
        <v>109027.80555555556</v>
      </c>
      <c r="W28" s="143">
        <f t="shared" si="9"/>
        <v>41817.060000000005</v>
      </c>
      <c r="X28" s="144">
        <f t="shared" si="9"/>
        <v>38719.619999999995</v>
      </c>
    </row>
    <row r="29" spans="1:24" ht="16.5" customHeight="1" thickBot="1" x14ac:dyDescent="0.3">
      <c r="A29" s="279" t="s">
        <v>133</v>
      </c>
      <c r="B29" s="280"/>
      <c r="C29" s="280"/>
      <c r="D29" s="280"/>
      <c r="E29" s="280"/>
      <c r="F29" s="280"/>
      <c r="G29" s="280"/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  <c r="S29" s="280"/>
      <c r="T29" s="280"/>
      <c r="U29" s="280"/>
      <c r="V29" s="280"/>
      <c r="W29" s="281"/>
      <c r="X29" s="282"/>
    </row>
    <row r="30" spans="1:24" ht="30" x14ac:dyDescent="0.25">
      <c r="A30" s="40">
        <v>24</v>
      </c>
      <c r="B30" s="41" t="s">
        <v>122</v>
      </c>
      <c r="C30" s="41" t="s">
        <v>134</v>
      </c>
      <c r="D30" s="41" t="s">
        <v>135</v>
      </c>
      <c r="E30" s="68" t="s">
        <v>92</v>
      </c>
      <c r="F30" s="68">
        <v>25</v>
      </c>
      <c r="G30" s="43" t="s">
        <v>93</v>
      </c>
      <c r="H30" s="86">
        <v>22</v>
      </c>
      <c r="I30" s="81">
        <v>0.08</v>
      </c>
      <c r="J30" s="87">
        <v>23.76</v>
      </c>
      <c r="K30" s="86">
        <v>6.6</v>
      </c>
      <c r="L30" s="81">
        <v>0.08</v>
      </c>
      <c r="M30" s="87">
        <v>7.13</v>
      </c>
      <c r="N30" s="86">
        <v>6.6</v>
      </c>
      <c r="O30" s="81">
        <v>0.08</v>
      </c>
      <c r="P30" s="91">
        <v>7.13</v>
      </c>
      <c r="Q30" s="86">
        <f>F30*(J30+M30+P30)</f>
        <v>950.50000000000011</v>
      </c>
      <c r="R30" s="87">
        <f>Q30/1.08</f>
        <v>880.09259259259261</v>
      </c>
      <c r="S30" s="86">
        <f>F30*P30</f>
        <v>178.25</v>
      </c>
      <c r="T30" s="91">
        <f>F30*N30</f>
        <v>165</v>
      </c>
      <c r="U30" s="145">
        <f t="shared" ref="U30:V34" si="10">Q30</f>
        <v>950.50000000000011</v>
      </c>
      <c r="V30" s="146">
        <f t="shared" si="10"/>
        <v>880.09259259259261</v>
      </c>
      <c r="W30" s="139">
        <f>F30*P30</f>
        <v>178.25</v>
      </c>
      <c r="X30" s="140">
        <f>F30*N30</f>
        <v>165</v>
      </c>
    </row>
    <row r="31" spans="1:24" x14ac:dyDescent="0.25">
      <c r="A31" s="44">
        <v>25</v>
      </c>
      <c r="B31" s="269" t="s">
        <v>136</v>
      </c>
      <c r="C31" s="45" t="s">
        <v>137</v>
      </c>
      <c r="D31" s="46" t="s">
        <v>138</v>
      </c>
      <c r="E31" s="61" t="s">
        <v>92</v>
      </c>
      <c r="F31" s="61">
        <v>100</v>
      </c>
      <c r="G31" s="47" t="s">
        <v>93</v>
      </c>
      <c r="H31" s="76">
        <v>40</v>
      </c>
      <c r="I31" s="78">
        <v>0.08</v>
      </c>
      <c r="J31" s="77">
        <v>43.2</v>
      </c>
      <c r="K31" s="76">
        <v>12</v>
      </c>
      <c r="L31" s="81">
        <v>0.08</v>
      </c>
      <c r="M31" s="77">
        <v>12.96</v>
      </c>
      <c r="N31" s="86">
        <v>12</v>
      </c>
      <c r="O31" s="81">
        <v>0.08</v>
      </c>
      <c r="P31" s="91">
        <v>12.96</v>
      </c>
      <c r="Q31" s="76">
        <f>F31*(J31+M31+P31)</f>
        <v>6912</v>
      </c>
      <c r="R31" s="77">
        <f>Q31/1.08</f>
        <v>6400</v>
      </c>
      <c r="S31" s="76">
        <f>F31*P31</f>
        <v>1296</v>
      </c>
      <c r="T31" s="84">
        <f>F31*N31</f>
        <v>1200</v>
      </c>
      <c r="U31" s="141">
        <f t="shared" si="10"/>
        <v>6912</v>
      </c>
      <c r="V31" s="147">
        <f t="shared" si="10"/>
        <v>6400</v>
      </c>
      <c r="W31" s="141">
        <f>F31*P31</f>
        <v>1296</v>
      </c>
      <c r="X31" s="142">
        <f>F31*N31</f>
        <v>1200</v>
      </c>
    </row>
    <row r="32" spans="1:24" x14ac:dyDescent="0.25">
      <c r="A32" s="44">
        <v>26</v>
      </c>
      <c r="B32" s="269"/>
      <c r="C32" s="45" t="s">
        <v>139</v>
      </c>
      <c r="D32" s="46" t="s">
        <v>140</v>
      </c>
      <c r="E32" s="61" t="s">
        <v>92</v>
      </c>
      <c r="F32" s="61">
        <v>20</v>
      </c>
      <c r="G32" s="47" t="s">
        <v>93</v>
      </c>
      <c r="H32" s="76">
        <v>30</v>
      </c>
      <c r="I32" s="78">
        <v>0.08</v>
      </c>
      <c r="J32" s="77">
        <v>32.4</v>
      </c>
      <c r="K32" s="76">
        <v>9</v>
      </c>
      <c r="L32" s="81">
        <v>0.08</v>
      </c>
      <c r="M32" s="77">
        <v>9.7200000000000006</v>
      </c>
      <c r="N32" s="86">
        <v>9</v>
      </c>
      <c r="O32" s="81">
        <v>0.08</v>
      </c>
      <c r="P32" s="91">
        <v>9.7200000000000006</v>
      </c>
      <c r="Q32" s="76">
        <f>F32*(J32+M32+P32)</f>
        <v>1036.8</v>
      </c>
      <c r="R32" s="77">
        <f>Q32/1.08</f>
        <v>959.99999999999989</v>
      </c>
      <c r="S32" s="76">
        <f>F32*P32</f>
        <v>194.4</v>
      </c>
      <c r="T32" s="84">
        <f>F32*N32</f>
        <v>180</v>
      </c>
      <c r="U32" s="141">
        <f t="shared" si="10"/>
        <v>1036.8</v>
      </c>
      <c r="V32" s="147">
        <f t="shared" si="10"/>
        <v>959.99999999999989</v>
      </c>
      <c r="W32" s="141">
        <f>F32*P32</f>
        <v>194.4</v>
      </c>
      <c r="X32" s="142">
        <f>F32*N32</f>
        <v>180</v>
      </c>
    </row>
    <row r="33" spans="1:24" x14ac:dyDescent="0.25">
      <c r="A33" s="44">
        <v>27</v>
      </c>
      <c r="B33" s="269"/>
      <c r="C33" s="45" t="s">
        <v>141</v>
      </c>
      <c r="D33" s="46" t="s">
        <v>140</v>
      </c>
      <c r="E33" s="61" t="s">
        <v>92</v>
      </c>
      <c r="F33" s="61">
        <v>20</v>
      </c>
      <c r="G33" s="54" t="s">
        <v>93</v>
      </c>
      <c r="H33" s="76">
        <v>30</v>
      </c>
      <c r="I33" s="78">
        <v>0.08</v>
      </c>
      <c r="J33" s="77">
        <v>32.4</v>
      </c>
      <c r="K33" s="76">
        <v>9</v>
      </c>
      <c r="L33" s="81">
        <v>0.08</v>
      </c>
      <c r="M33" s="77">
        <v>9.7200000000000006</v>
      </c>
      <c r="N33" s="86">
        <v>9</v>
      </c>
      <c r="O33" s="81">
        <v>0.08</v>
      </c>
      <c r="P33" s="91">
        <v>9.7200000000000006</v>
      </c>
      <c r="Q33" s="76">
        <f>F33*(J33+M33+P33)</f>
        <v>1036.8</v>
      </c>
      <c r="R33" s="77">
        <f>Q33/1.08</f>
        <v>959.99999999999989</v>
      </c>
      <c r="S33" s="76">
        <f>F33*P33</f>
        <v>194.4</v>
      </c>
      <c r="T33" s="84">
        <f>F33*N33</f>
        <v>180</v>
      </c>
      <c r="U33" s="141">
        <f t="shared" si="10"/>
        <v>1036.8</v>
      </c>
      <c r="V33" s="147">
        <f t="shared" si="10"/>
        <v>959.99999999999989</v>
      </c>
      <c r="W33" s="141">
        <f>F33*P33</f>
        <v>194.4</v>
      </c>
      <c r="X33" s="142">
        <f>F33*N33</f>
        <v>180</v>
      </c>
    </row>
    <row r="34" spans="1:24" ht="30" x14ac:dyDescent="0.25">
      <c r="A34" s="44">
        <v>28</v>
      </c>
      <c r="B34" s="45" t="s">
        <v>142</v>
      </c>
      <c r="C34" s="45" t="s">
        <v>143</v>
      </c>
      <c r="D34" s="46" t="s">
        <v>144</v>
      </c>
      <c r="E34" s="61" t="s">
        <v>92</v>
      </c>
      <c r="F34" s="61">
        <v>2</v>
      </c>
      <c r="G34" s="54" t="s">
        <v>93</v>
      </c>
      <c r="H34" s="76">
        <v>33.6</v>
      </c>
      <c r="I34" s="78">
        <v>0.08</v>
      </c>
      <c r="J34" s="77">
        <v>36.29</v>
      </c>
      <c r="K34" s="76">
        <v>10.08</v>
      </c>
      <c r="L34" s="81">
        <v>0.08</v>
      </c>
      <c r="M34" s="77">
        <v>10.89</v>
      </c>
      <c r="N34" s="86">
        <v>10.08</v>
      </c>
      <c r="O34" s="81">
        <v>0.08</v>
      </c>
      <c r="P34" s="91">
        <v>10.89</v>
      </c>
      <c r="Q34" s="76">
        <f>F34*(J34+M34+P34)</f>
        <v>116.14</v>
      </c>
      <c r="R34" s="77">
        <f>Q34/1.08</f>
        <v>107.53703703703702</v>
      </c>
      <c r="S34" s="76">
        <f>F34*P34</f>
        <v>21.78</v>
      </c>
      <c r="T34" s="84">
        <f>F34*N34</f>
        <v>20.16</v>
      </c>
      <c r="U34" s="141">
        <f t="shared" si="10"/>
        <v>116.14</v>
      </c>
      <c r="V34" s="147">
        <f t="shared" si="10"/>
        <v>107.53703703703702</v>
      </c>
      <c r="W34" s="141">
        <f>F34*P34</f>
        <v>21.78</v>
      </c>
      <c r="X34" s="142">
        <f>F34*N34</f>
        <v>20.16</v>
      </c>
    </row>
    <row r="35" spans="1:24" ht="15.75" thickBot="1" x14ac:dyDescent="0.3">
      <c r="A35" s="270" t="s">
        <v>132</v>
      </c>
      <c r="B35" s="271"/>
      <c r="C35" s="271"/>
      <c r="D35" s="272"/>
      <c r="E35" s="99" t="s">
        <v>92</v>
      </c>
      <c r="F35" s="55">
        <f>SUM(F30:F34)</f>
        <v>167</v>
      </c>
      <c r="G35" s="100"/>
      <c r="H35" s="95"/>
      <c r="I35" s="96"/>
      <c r="J35" s="97"/>
      <c r="K35" s="95"/>
      <c r="L35" s="96"/>
      <c r="M35" s="97"/>
      <c r="N35" s="95"/>
      <c r="O35" s="96"/>
      <c r="P35" s="98"/>
      <c r="Q35" s="111">
        <f t="shared" ref="Q35:X35" si="11">SUM(Q30:Q34)</f>
        <v>10052.239999999998</v>
      </c>
      <c r="R35" s="112">
        <f t="shared" si="11"/>
        <v>9307.6296296296296</v>
      </c>
      <c r="S35" s="111">
        <f t="shared" si="11"/>
        <v>1884.8300000000002</v>
      </c>
      <c r="T35" s="129">
        <f t="shared" si="11"/>
        <v>1745.16</v>
      </c>
      <c r="U35" s="148">
        <f t="shared" si="11"/>
        <v>10052.239999999998</v>
      </c>
      <c r="V35" s="149">
        <f t="shared" si="11"/>
        <v>9307.6296296296296</v>
      </c>
      <c r="W35" s="143">
        <f t="shared" si="11"/>
        <v>1884.8300000000002</v>
      </c>
      <c r="X35" s="144">
        <f t="shared" si="11"/>
        <v>1745.16</v>
      </c>
    </row>
    <row r="36" spans="1:24" ht="15.75" customHeight="1" thickBot="1" x14ac:dyDescent="0.3">
      <c r="A36" s="283" t="s">
        <v>145</v>
      </c>
      <c r="B36" s="284"/>
      <c r="C36" s="284"/>
      <c r="D36" s="284"/>
      <c r="E36" s="284"/>
      <c r="F36" s="284"/>
      <c r="G36" s="284"/>
      <c r="H36" s="284"/>
      <c r="I36" s="284"/>
      <c r="J36" s="284"/>
      <c r="K36" s="284"/>
      <c r="L36" s="284"/>
      <c r="M36" s="284"/>
      <c r="N36" s="284"/>
      <c r="O36" s="284"/>
      <c r="P36" s="284"/>
      <c r="Q36" s="284"/>
      <c r="R36" s="284"/>
      <c r="S36" s="284"/>
      <c r="T36" s="284"/>
      <c r="U36" s="284"/>
      <c r="V36" s="284"/>
      <c r="W36" s="285"/>
      <c r="X36" s="286"/>
    </row>
    <row r="37" spans="1:24" ht="30" x14ac:dyDescent="0.25">
      <c r="A37" s="40">
        <v>29</v>
      </c>
      <c r="B37" s="63" t="s">
        <v>142</v>
      </c>
      <c r="C37" s="63" t="s">
        <v>146</v>
      </c>
      <c r="D37" s="63" t="s">
        <v>147</v>
      </c>
      <c r="E37" s="64" t="s">
        <v>92</v>
      </c>
      <c r="F37" s="64">
        <v>48</v>
      </c>
      <c r="G37" s="65" t="s">
        <v>93</v>
      </c>
      <c r="H37" s="86">
        <v>20</v>
      </c>
      <c r="I37" s="81">
        <v>0.08</v>
      </c>
      <c r="J37" s="87">
        <v>21.6</v>
      </c>
      <c r="K37" s="86">
        <v>6</v>
      </c>
      <c r="L37" s="88">
        <v>0.08</v>
      </c>
      <c r="M37" s="87">
        <v>6.48</v>
      </c>
      <c r="N37" s="86">
        <v>6</v>
      </c>
      <c r="O37" s="81">
        <v>0.08</v>
      </c>
      <c r="P37" s="91">
        <v>6.48</v>
      </c>
      <c r="Q37" s="110">
        <f>F37*(J37+M37+P37)</f>
        <v>1658.88</v>
      </c>
      <c r="R37" s="87">
        <f>Q37/1.08</f>
        <v>1536</v>
      </c>
      <c r="S37" s="110">
        <f>F37*P37</f>
        <v>311.04000000000002</v>
      </c>
      <c r="T37" s="91">
        <f>F37*N37</f>
        <v>288</v>
      </c>
      <c r="U37" s="145">
        <f>Q37</f>
        <v>1658.88</v>
      </c>
      <c r="V37" s="146">
        <f>R37</f>
        <v>1536</v>
      </c>
      <c r="W37" s="139">
        <f>F37*P37</f>
        <v>311.04000000000002</v>
      </c>
      <c r="X37" s="140">
        <f>F37*N37</f>
        <v>288</v>
      </c>
    </row>
    <row r="38" spans="1:24" ht="15.75" thickBot="1" x14ac:dyDescent="0.3">
      <c r="A38" s="270" t="s">
        <v>132</v>
      </c>
      <c r="B38" s="271"/>
      <c r="C38" s="271"/>
      <c r="D38" s="272"/>
      <c r="E38" s="53" t="s">
        <v>92</v>
      </c>
      <c r="F38" s="55">
        <f>SUM(F37)</f>
        <v>48</v>
      </c>
      <c r="G38" s="56"/>
      <c r="H38" s="95"/>
      <c r="I38" s="96"/>
      <c r="J38" s="97"/>
      <c r="K38" s="95"/>
      <c r="L38" s="96"/>
      <c r="M38" s="97"/>
      <c r="N38" s="95"/>
      <c r="O38" s="96"/>
      <c r="P38" s="98"/>
      <c r="Q38" s="127">
        <f t="shared" ref="Q38:X38" si="12">Q37</f>
        <v>1658.88</v>
      </c>
      <c r="R38" s="112">
        <f t="shared" si="12"/>
        <v>1536</v>
      </c>
      <c r="S38" s="128">
        <f t="shared" si="12"/>
        <v>311.04000000000002</v>
      </c>
      <c r="T38" s="129">
        <f t="shared" si="12"/>
        <v>288</v>
      </c>
      <c r="U38" s="148">
        <f t="shared" si="12"/>
        <v>1658.88</v>
      </c>
      <c r="V38" s="149">
        <f t="shared" si="12"/>
        <v>1536</v>
      </c>
      <c r="W38" s="143">
        <f t="shared" si="12"/>
        <v>311.04000000000002</v>
      </c>
      <c r="X38" s="144">
        <f t="shared" si="12"/>
        <v>288</v>
      </c>
    </row>
    <row r="39" spans="1:24" ht="15.75" thickBot="1" x14ac:dyDescent="0.3">
      <c r="A39" s="283" t="s">
        <v>148</v>
      </c>
      <c r="B39" s="284"/>
      <c r="C39" s="284"/>
      <c r="D39" s="284"/>
      <c r="E39" s="284"/>
      <c r="F39" s="284"/>
      <c r="G39" s="284"/>
      <c r="H39" s="284"/>
      <c r="I39" s="284"/>
      <c r="J39" s="284"/>
      <c r="K39" s="284"/>
      <c r="L39" s="284"/>
      <c r="M39" s="284"/>
      <c r="N39" s="284"/>
      <c r="O39" s="284"/>
      <c r="P39" s="284"/>
      <c r="Q39" s="284"/>
      <c r="R39" s="284"/>
      <c r="S39" s="284"/>
      <c r="T39" s="284"/>
      <c r="U39" s="284"/>
      <c r="V39" s="284"/>
      <c r="W39" s="284"/>
      <c r="X39" s="287"/>
    </row>
    <row r="40" spans="1:24" ht="30" x14ac:dyDescent="0.25">
      <c r="A40" s="40">
        <v>30</v>
      </c>
      <c r="B40" s="67" t="s">
        <v>142</v>
      </c>
      <c r="C40" s="67" t="s">
        <v>149</v>
      </c>
      <c r="D40" s="67" t="s">
        <v>150</v>
      </c>
      <c r="E40" s="68" t="s">
        <v>92</v>
      </c>
      <c r="F40" s="68">
        <v>1</v>
      </c>
      <c r="G40" s="43" t="s">
        <v>93</v>
      </c>
      <c r="H40" s="86">
        <v>30</v>
      </c>
      <c r="I40" s="81">
        <v>0.08</v>
      </c>
      <c r="J40" s="87">
        <v>32.4</v>
      </c>
      <c r="K40" s="86">
        <v>9</v>
      </c>
      <c r="L40" s="88">
        <v>0.08</v>
      </c>
      <c r="M40" s="87">
        <v>9.7200000000000006</v>
      </c>
      <c r="N40" s="86">
        <v>9</v>
      </c>
      <c r="O40" s="81">
        <v>0.08</v>
      </c>
      <c r="P40" s="91">
        <v>9.7200000000000006</v>
      </c>
      <c r="Q40" s="86">
        <f>F40*(J40+M40+P40)</f>
        <v>51.839999999999996</v>
      </c>
      <c r="R40" s="87">
        <f>Q40/1.08</f>
        <v>47.999999999999993</v>
      </c>
      <c r="S40" s="86">
        <f>F40*P40</f>
        <v>9.7200000000000006</v>
      </c>
      <c r="T40" s="91">
        <f>N40</f>
        <v>9</v>
      </c>
      <c r="U40" s="145">
        <f>Q40</f>
        <v>51.839999999999996</v>
      </c>
      <c r="V40" s="146">
        <f>R40</f>
        <v>47.999999999999993</v>
      </c>
      <c r="W40" s="139">
        <f>F40*P40</f>
        <v>9.7200000000000006</v>
      </c>
      <c r="X40" s="140">
        <f>1*N40</f>
        <v>9</v>
      </c>
    </row>
    <row r="41" spans="1:24" ht="15.75" thickBot="1" x14ac:dyDescent="0.3">
      <c r="A41" s="273" t="s">
        <v>132</v>
      </c>
      <c r="B41" s="274"/>
      <c r="C41" s="274"/>
      <c r="D41" s="274"/>
      <c r="E41" s="69" t="s">
        <v>92</v>
      </c>
      <c r="F41" s="62">
        <f>SUM(F40)</f>
        <v>1</v>
      </c>
      <c r="G41" s="66"/>
      <c r="H41" s="57"/>
      <c r="I41" s="58"/>
      <c r="J41" s="59"/>
      <c r="K41" s="57"/>
      <c r="L41" s="58"/>
      <c r="M41" s="59"/>
      <c r="N41" s="57"/>
      <c r="O41" s="58"/>
      <c r="P41" s="89"/>
      <c r="Q41" s="105">
        <f t="shared" ref="Q41:X41" si="13">Q40</f>
        <v>51.839999999999996</v>
      </c>
      <c r="R41" s="106">
        <f t="shared" si="13"/>
        <v>47.999999999999993</v>
      </c>
      <c r="S41" s="105">
        <f t="shared" si="13"/>
        <v>9.7200000000000006</v>
      </c>
      <c r="T41" s="116">
        <f t="shared" si="13"/>
        <v>9</v>
      </c>
      <c r="U41" s="143">
        <f t="shared" si="13"/>
        <v>51.839999999999996</v>
      </c>
      <c r="V41" s="150">
        <f t="shared" si="13"/>
        <v>47.999999999999993</v>
      </c>
      <c r="W41" s="143">
        <f t="shared" si="13"/>
        <v>9.7200000000000006</v>
      </c>
      <c r="X41" s="144">
        <f t="shared" si="13"/>
        <v>9</v>
      </c>
    </row>
    <row r="42" spans="1:24" ht="25.5" customHeight="1" thickBot="1" x14ac:dyDescent="0.3">
      <c r="A42" s="70"/>
      <c r="B42" s="261" t="s">
        <v>132</v>
      </c>
      <c r="C42" s="262"/>
      <c r="D42" s="262"/>
      <c r="E42" s="263"/>
      <c r="F42" s="71">
        <f>F28+F35+F38+F41</f>
        <v>337</v>
      </c>
      <c r="G42" s="72"/>
      <c r="H42" s="73"/>
      <c r="I42" s="74"/>
      <c r="J42" s="75"/>
      <c r="K42" s="73"/>
      <c r="L42" s="74"/>
      <c r="M42" s="75"/>
      <c r="N42" s="73"/>
      <c r="O42" s="74"/>
      <c r="P42" s="75"/>
      <c r="Q42" s="101">
        <f t="shared" ref="Q42:X42" si="14">Q28+Q35+Q38+Q41</f>
        <v>185400.44000000003</v>
      </c>
      <c r="R42" s="102">
        <f t="shared" si="14"/>
        <v>171667.0740740741</v>
      </c>
      <c r="S42" s="113">
        <f t="shared" si="14"/>
        <v>62608.009999999995</v>
      </c>
      <c r="T42" s="102">
        <f t="shared" si="14"/>
        <v>57970.5</v>
      </c>
      <c r="U42" s="151">
        <f t="shared" si="14"/>
        <v>129512.99000000002</v>
      </c>
      <c r="V42" s="152">
        <f t="shared" si="14"/>
        <v>119919.4351851852</v>
      </c>
      <c r="W42" s="151">
        <f t="shared" si="14"/>
        <v>44022.650000000009</v>
      </c>
      <c r="X42" s="153">
        <f t="shared" si="14"/>
        <v>40761.78</v>
      </c>
    </row>
    <row r="43" spans="1:24" x14ac:dyDescent="0.25">
      <c r="W43" s="130"/>
      <c r="X43" s="130"/>
    </row>
  </sheetData>
  <mergeCells count="12">
    <mergeCell ref="A1:X1"/>
    <mergeCell ref="B42:E42"/>
    <mergeCell ref="B24:B27"/>
    <mergeCell ref="A28:D28"/>
    <mergeCell ref="B31:B33"/>
    <mergeCell ref="A35:D35"/>
    <mergeCell ref="A38:D38"/>
    <mergeCell ref="A41:D41"/>
    <mergeCell ref="A4:X4"/>
    <mergeCell ref="A29:X29"/>
    <mergeCell ref="A36:X36"/>
    <mergeCell ref="A39:X39"/>
  </mergeCells>
  <phoneticPr fontId="12" type="noConversion"/>
  <pageMargins left="0.70866141732283472" right="0.70866141732283472" top="0.74803149606299213" bottom="0.74803149606299213" header="0.31496062992125984" footer="0.31496062992125984"/>
  <pageSetup paperSize="8" scale="3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84898-DCF1-4DAE-9DE0-0BAAD0CB1F58}">
  <sheetPr>
    <pageSetUpPr fitToPage="1"/>
  </sheetPr>
  <dimension ref="A1:T11"/>
  <sheetViews>
    <sheetView zoomScale="60" zoomScaleNormal="60" workbookViewId="0">
      <selection activeCell="I26" sqref="I26"/>
    </sheetView>
  </sheetViews>
  <sheetFormatPr defaultRowHeight="15" x14ac:dyDescent="0.25"/>
  <cols>
    <col min="2" max="2" width="31.7109375" customWidth="1"/>
    <col min="3" max="3" width="39" customWidth="1"/>
    <col min="4" max="4" width="60.42578125" customWidth="1"/>
    <col min="5" max="5" width="9.140625" customWidth="1"/>
    <col min="6" max="6" width="12" customWidth="1"/>
    <col min="7" max="7" width="19.42578125" customWidth="1"/>
    <col min="8" max="8" width="19.85546875" customWidth="1"/>
    <col min="9" max="9" width="12.28515625" customWidth="1"/>
    <col min="10" max="10" width="18.42578125" customWidth="1"/>
    <col min="11" max="11" width="21.28515625" customWidth="1"/>
    <col min="12" max="12" width="15.140625" customWidth="1"/>
    <col min="13" max="13" width="18.140625" customWidth="1"/>
    <col min="14" max="14" width="17.28515625" customWidth="1"/>
    <col min="15" max="15" width="15.28515625" customWidth="1"/>
    <col min="16" max="16" width="26" customWidth="1"/>
    <col min="17" max="17" width="20.85546875" customWidth="1"/>
    <col min="18" max="18" width="18" customWidth="1"/>
    <col min="19" max="19" width="18.42578125" customWidth="1"/>
    <col min="20" max="20" width="19.140625" customWidth="1"/>
  </cols>
  <sheetData>
    <row r="1" spans="1:20" ht="16.5" thickBot="1" x14ac:dyDescent="0.3">
      <c r="A1" s="258" t="s">
        <v>195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88"/>
      <c r="T1" s="288"/>
    </row>
    <row r="2" spans="1:20" ht="228" x14ac:dyDescent="0.25">
      <c r="A2" s="30" t="s">
        <v>78</v>
      </c>
      <c r="B2" s="31" t="s">
        <v>79</v>
      </c>
      <c r="C2" s="31" t="s">
        <v>80</v>
      </c>
      <c r="D2" s="31" t="s">
        <v>81</v>
      </c>
      <c r="E2" s="31" t="s">
        <v>82</v>
      </c>
      <c r="F2" s="31" t="s">
        <v>83</v>
      </c>
      <c r="G2" s="32" t="s">
        <v>84</v>
      </c>
      <c r="H2" s="33" t="s">
        <v>189</v>
      </c>
      <c r="I2" s="34" t="s">
        <v>85</v>
      </c>
      <c r="J2" s="35" t="s">
        <v>190</v>
      </c>
      <c r="K2" s="33" t="s">
        <v>186</v>
      </c>
      <c r="L2" s="34" t="s">
        <v>85</v>
      </c>
      <c r="M2" s="35" t="s">
        <v>183</v>
      </c>
      <c r="N2" s="33" t="s">
        <v>185</v>
      </c>
      <c r="O2" s="34" t="s">
        <v>85</v>
      </c>
      <c r="P2" s="118" t="s">
        <v>184</v>
      </c>
      <c r="Q2" s="33" t="s">
        <v>86</v>
      </c>
      <c r="R2" s="118" t="s">
        <v>157</v>
      </c>
      <c r="S2" s="33" t="s">
        <v>182</v>
      </c>
      <c r="T2" s="35" t="s">
        <v>165</v>
      </c>
    </row>
    <row r="3" spans="1:20" ht="15.75" thickBot="1" x14ac:dyDescent="0.3">
      <c r="A3" s="36" t="s">
        <v>31</v>
      </c>
      <c r="B3" s="37" t="s">
        <v>32</v>
      </c>
      <c r="C3" s="37" t="s">
        <v>33</v>
      </c>
      <c r="D3" s="37" t="s">
        <v>34</v>
      </c>
      <c r="E3" s="37" t="s">
        <v>35</v>
      </c>
      <c r="F3" s="37" t="s">
        <v>36</v>
      </c>
      <c r="G3" s="38"/>
      <c r="H3" s="39" t="s">
        <v>37</v>
      </c>
      <c r="I3" s="37" t="s">
        <v>38</v>
      </c>
      <c r="J3" s="38" t="s">
        <v>39</v>
      </c>
      <c r="K3" s="39" t="s">
        <v>40</v>
      </c>
      <c r="L3" s="37" t="s">
        <v>41</v>
      </c>
      <c r="M3" s="38" t="s">
        <v>42</v>
      </c>
      <c r="N3" s="39" t="s">
        <v>50</v>
      </c>
      <c r="O3" s="37" t="s">
        <v>43</v>
      </c>
      <c r="P3" s="119" t="s">
        <v>44</v>
      </c>
      <c r="Q3" s="39" t="s">
        <v>87</v>
      </c>
      <c r="R3" s="122" t="s">
        <v>158</v>
      </c>
      <c r="S3" s="158" t="s">
        <v>161</v>
      </c>
      <c r="T3" s="117" t="s">
        <v>162</v>
      </c>
    </row>
    <row r="4" spans="1:20" ht="16.5" thickBot="1" x14ac:dyDescent="0.3">
      <c r="A4" s="275" t="s">
        <v>88</v>
      </c>
      <c r="B4" s="276"/>
      <c r="C4" s="276"/>
      <c r="D4" s="276"/>
      <c r="E4" s="276"/>
      <c r="F4" s="276"/>
      <c r="G4" s="276"/>
      <c r="H4" s="276"/>
      <c r="I4" s="276"/>
      <c r="J4" s="276"/>
      <c r="K4" s="276"/>
      <c r="L4" s="276"/>
      <c r="M4" s="276"/>
      <c r="N4" s="276"/>
      <c r="O4" s="276"/>
      <c r="P4" s="276"/>
      <c r="Q4" s="276"/>
      <c r="R4" s="276"/>
      <c r="S4" s="289"/>
      <c r="T4" s="290"/>
    </row>
    <row r="5" spans="1:20" ht="45" x14ac:dyDescent="0.25">
      <c r="A5" s="44">
        <v>1</v>
      </c>
      <c r="B5" s="45" t="s">
        <v>89</v>
      </c>
      <c r="C5" s="45" t="s">
        <v>90</v>
      </c>
      <c r="D5" s="46" t="s">
        <v>91</v>
      </c>
      <c r="E5" s="41" t="s">
        <v>92</v>
      </c>
      <c r="F5" s="45">
        <v>13</v>
      </c>
      <c r="G5" s="47" t="s">
        <v>181</v>
      </c>
      <c r="H5" s="76">
        <v>925.95</v>
      </c>
      <c r="I5" s="78">
        <v>0.08</v>
      </c>
      <c r="J5" s="77">
        <v>1000</v>
      </c>
      <c r="K5" s="80">
        <v>277.77999999999997</v>
      </c>
      <c r="L5" s="78">
        <v>0.08</v>
      </c>
      <c r="M5" s="77">
        <v>300</v>
      </c>
      <c r="N5" s="76">
        <v>277.77999999999997</v>
      </c>
      <c r="O5" s="78">
        <v>0.08</v>
      </c>
      <c r="P5" s="84">
        <v>300</v>
      </c>
      <c r="Q5" s="76">
        <f t="shared" ref="Q5:Q10" si="0">F5*(J5+M5+P5)</f>
        <v>20800</v>
      </c>
      <c r="R5" s="77">
        <f t="shared" ref="R5:R10" si="1">Q5/1.08</f>
        <v>19259.259259259259</v>
      </c>
      <c r="S5" s="154">
        <f t="shared" ref="S5:S10" si="2">F5*P5</f>
        <v>3900</v>
      </c>
      <c r="T5" s="155">
        <f t="shared" ref="T5:T10" si="3">F5*N5</f>
        <v>3611.1399999999994</v>
      </c>
    </row>
    <row r="6" spans="1:20" ht="45" x14ac:dyDescent="0.25">
      <c r="A6" s="44">
        <v>2</v>
      </c>
      <c r="B6" s="45" t="s">
        <v>94</v>
      </c>
      <c r="C6" s="45" t="s">
        <v>187</v>
      </c>
      <c r="D6" s="46" t="s">
        <v>91</v>
      </c>
      <c r="E6" s="41" t="s">
        <v>92</v>
      </c>
      <c r="F6" s="45">
        <v>2</v>
      </c>
      <c r="G6" s="47" t="s">
        <v>181</v>
      </c>
      <c r="H6" s="76">
        <v>925.95</v>
      </c>
      <c r="I6" s="78">
        <v>0.08</v>
      </c>
      <c r="J6" s="77">
        <v>1000</v>
      </c>
      <c r="K6" s="80">
        <v>277.77999999999997</v>
      </c>
      <c r="L6" s="78">
        <v>0.08</v>
      </c>
      <c r="M6" s="77">
        <v>300</v>
      </c>
      <c r="N6" s="76">
        <v>277.77999999999997</v>
      </c>
      <c r="O6" s="78">
        <v>0.08</v>
      </c>
      <c r="P6" s="84">
        <v>300</v>
      </c>
      <c r="Q6" s="76">
        <f t="shared" si="0"/>
        <v>3200</v>
      </c>
      <c r="R6" s="77">
        <f t="shared" si="1"/>
        <v>2962.9629629629626</v>
      </c>
      <c r="S6" s="156">
        <f t="shared" si="2"/>
        <v>600</v>
      </c>
      <c r="T6" s="157">
        <f t="shared" si="3"/>
        <v>555.55999999999995</v>
      </c>
    </row>
    <row r="7" spans="1:20" ht="45" x14ac:dyDescent="0.25">
      <c r="A7" s="44">
        <v>3</v>
      </c>
      <c r="B7" s="45" t="s">
        <v>100</v>
      </c>
      <c r="C7" s="45" t="s">
        <v>188</v>
      </c>
      <c r="D7" s="46" t="s">
        <v>96</v>
      </c>
      <c r="E7" s="41" t="s">
        <v>92</v>
      </c>
      <c r="F7" s="49">
        <v>6</v>
      </c>
      <c r="G7" s="47" t="s">
        <v>181</v>
      </c>
      <c r="H7" s="76">
        <v>925.95</v>
      </c>
      <c r="I7" s="78">
        <v>0.08</v>
      </c>
      <c r="J7" s="77">
        <v>1000</v>
      </c>
      <c r="K7" s="80">
        <v>277.77999999999997</v>
      </c>
      <c r="L7" s="78">
        <v>0.08</v>
      </c>
      <c r="M7" s="77">
        <v>300</v>
      </c>
      <c r="N7" s="76">
        <v>277.77999999999997</v>
      </c>
      <c r="O7" s="78">
        <v>0.08</v>
      </c>
      <c r="P7" s="84">
        <v>300</v>
      </c>
      <c r="Q7" s="76">
        <f t="shared" si="0"/>
        <v>9600</v>
      </c>
      <c r="R7" s="77">
        <f t="shared" si="1"/>
        <v>8888.8888888888887</v>
      </c>
      <c r="S7" s="156">
        <f t="shared" si="2"/>
        <v>1800</v>
      </c>
      <c r="T7" s="157">
        <f t="shared" si="3"/>
        <v>1666.6799999999998</v>
      </c>
    </row>
    <row r="8" spans="1:20" ht="45" x14ac:dyDescent="0.25">
      <c r="A8" s="44">
        <v>4</v>
      </c>
      <c r="B8" s="45" t="s">
        <v>99</v>
      </c>
      <c r="C8" s="45" t="s">
        <v>191</v>
      </c>
      <c r="D8" s="46" t="s">
        <v>91</v>
      </c>
      <c r="E8" s="41" t="s">
        <v>92</v>
      </c>
      <c r="F8" s="49">
        <v>9</v>
      </c>
      <c r="G8" s="47" t="s">
        <v>181</v>
      </c>
      <c r="H8" s="76">
        <v>925.95</v>
      </c>
      <c r="I8" s="78">
        <v>0.08</v>
      </c>
      <c r="J8" s="77">
        <v>1000</v>
      </c>
      <c r="K8" s="80">
        <v>277.77999999999997</v>
      </c>
      <c r="L8" s="78">
        <v>0.08</v>
      </c>
      <c r="M8" s="77">
        <v>300</v>
      </c>
      <c r="N8" s="76">
        <v>277.77999999999997</v>
      </c>
      <c r="O8" s="78">
        <v>0.08</v>
      </c>
      <c r="P8" s="84">
        <v>300</v>
      </c>
      <c r="Q8" s="76">
        <f t="shared" si="0"/>
        <v>14400</v>
      </c>
      <c r="R8" s="77">
        <f t="shared" si="1"/>
        <v>13333.333333333332</v>
      </c>
      <c r="S8" s="156">
        <f t="shared" si="2"/>
        <v>2700</v>
      </c>
      <c r="T8" s="157">
        <f t="shared" si="3"/>
        <v>2500.0199999999995</v>
      </c>
    </row>
    <row r="9" spans="1:20" ht="45" x14ac:dyDescent="0.25">
      <c r="A9" s="44">
        <v>5</v>
      </c>
      <c r="B9" s="45" t="s">
        <v>125</v>
      </c>
      <c r="C9" s="45" t="s">
        <v>192</v>
      </c>
      <c r="D9" s="46" t="s">
        <v>91</v>
      </c>
      <c r="E9" s="41" t="s">
        <v>92</v>
      </c>
      <c r="F9" s="49">
        <v>4</v>
      </c>
      <c r="G9" s="47" t="s">
        <v>181</v>
      </c>
      <c r="H9" s="76">
        <v>925.95</v>
      </c>
      <c r="I9" s="78">
        <v>0.08</v>
      </c>
      <c r="J9" s="77">
        <v>1000</v>
      </c>
      <c r="K9" s="80">
        <v>277.77999999999997</v>
      </c>
      <c r="L9" s="78">
        <v>0.08</v>
      </c>
      <c r="M9" s="77">
        <v>300</v>
      </c>
      <c r="N9" s="76">
        <v>277.77999999999997</v>
      </c>
      <c r="O9" s="78">
        <v>0.08</v>
      </c>
      <c r="P9" s="84">
        <v>300</v>
      </c>
      <c r="Q9" s="76">
        <f t="shared" si="0"/>
        <v>6400</v>
      </c>
      <c r="R9" s="77">
        <f t="shared" si="1"/>
        <v>5925.9259259259252</v>
      </c>
      <c r="S9" s="156">
        <f t="shared" si="2"/>
        <v>1200</v>
      </c>
      <c r="T9" s="157">
        <f t="shared" si="3"/>
        <v>1111.1199999999999</v>
      </c>
    </row>
    <row r="10" spans="1:20" ht="45" x14ac:dyDescent="0.25">
      <c r="A10" s="44">
        <v>6</v>
      </c>
      <c r="B10" s="45" t="s">
        <v>193</v>
      </c>
      <c r="C10" s="45" t="s">
        <v>194</v>
      </c>
      <c r="D10" s="46" t="s">
        <v>91</v>
      </c>
      <c r="E10" s="41" t="s">
        <v>92</v>
      </c>
      <c r="F10" s="49">
        <v>1</v>
      </c>
      <c r="G10" s="47" t="s">
        <v>181</v>
      </c>
      <c r="H10" s="76">
        <v>925.95</v>
      </c>
      <c r="I10" s="78">
        <v>0.08</v>
      </c>
      <c r="J10" s="77">
        <v>1000</v>
      </c>
      <c r="K10" s="80">
        <v>277.77999999999997</v>
      </c>
      <c r="L10" s="78">
        <v>0.08</v>
      </c>
      <c r="M10" s="77">
        <v>300</v>
      </c>
      <c r="N10" s="76">
        <v>277.77999999999997</v>
      </c>
      <c r="O10" s="78">
        <v>0.08</v>
      </c>
      <c r="P10" s="84">
        <v>300</v>
      </c>
      <c r="Q10" s="76">
        <f t="shared" si="0"/>
        <v>1600</v>
      </c>
      <c r="R10" s="77">
        <f t="shared" si="1"/>
        <v>1481.4814814814813</v>
      </c>
      <c r="S10" s="156">
        <f t="shared" si="2"/>
        <v>300</v>
      </c>
      <c r="T10" s="157">
        <f t="shared" si="3"/>
        <v>277.77999999999997</v>
      </c>
    </row>
    <row r="11" spans="1:20" ht="15.75" thickBot="1" x14ac:dyDescent="0.3">
      <c r="A11" s="291" t="s">
        <v>132</v>
      </c>
      <c r="B11" s="291"/>
      <c r="C11" s="291"/>
      <c r="D11" s="291"/>
      <c r="E11" s="45" t="s">
        <v>92</v>
      </c>
      <c r="F11" s="196">
        <f>SUM(F5:F10)</f>
        <v>35</v>
      </c>
      <c r="G11" s="197"/>
      <c r="H11" s="198"/>
      <c r="I11" s="198"/>
      <c r="J11" s="198"/>
      <c r="K11" s="198"/>
      <c r="L11" s="198"/>
      <c r="M11" s="198"/>
      <c r="N11" s="198"/>
      <c r="O11" s="198"/>
      <c r="P11" s="198"/>
      <c r="Q11" s="195">
        <f>SUM(Q5:Q10)</f>
        <v>56000</v>
      </c>
      <c r="R11" s="60">
        <f>SUM(R5:R10)</f>
        <v>51851.851851851847</v>
      </c>
      <c r="S11" s="105">
        <f>SUM(S5:S10)</f>
        <v>10500</v>
      </c>
      <c r="T11" s="106">
        <f>SUM(T5:T10)</f>
        <v>9722.2999999999975</v>
      </c>
    </row>
  </sheetData>
  <mergeCells count="3">
    <mergeCell ref="A1:T1"/>
    <mergeCell ref="A4:T4"/>
    <mergeCell ref="A11:D11"/>
  </mergeCells>
  <phoneticPr fontId="12" type="noConversion"/>
  <pageMargins left="0.25" right="0.25" top="0.75" bottom="0.75" header="0.3" footer="0.3"/>
  <pageSetup paperSize="8" scale="4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AB32A-3AB9-4C43-AD71-37F49ECEF564}">
  <sheetPr>
    <pageSetUpPr fitToPage="1"/>
  </sheetPr>
  <dimension ref="A1:Y16"/>
  <sheetViews>
    <sheetView zoomScale="60" zoomScaleNormal="60" workbookViewId="0">
      <selection activeCell="D30" sqref="D30"/>
    </sheetView>
  </sheetViews>
  <sheetFormatPr defaultRowHeight="15" x14ac:dyDescent="0.25"/>
  <cols>
    <col min="2" max="2" width="31.7109375" customWidth="1"/>
    <col min="3" max="3" width="39" customWidth="1"/>
    <col min="4" max="4" width="60.42578125" customWidth="1"/>
    <col min="6" max="6" width="12" customWidth="1"/>
    <col min="7" max="7" width="19.42578125" customWidth="1"/>
    <col min="8" max="8" width="19.85546875" customWidth="1"/>
    <col min="9" max="9" width="12.28515625" customWidth="1"/>
    <col min="10" max="10" width="18.42578125" customWidth="1"/>
    <col min="11" max="11" width="21.28515625" customWidth="1"/>
    <col min="12" max="12" width="15.140625" customWidth="1"/>
    <col min="13" max="13" width="18.140625" customWidth="1"/>
    <col min="14" max="14" width="17.28515625" customWidth="1"/>
    <col min="15" max="15" width="15.28515625" customWidth="1"/>
    <col min="16" max="16" width="26" customWidth="1"/>
    <col min="17" max="17" width="20.85546875" customWidth="1"/>
    <col min="18" max="18" width="18" customWidth="1"/>
    <col min="19" max="19" width="18.42578125" customWidth="1"/>
    <col min="20" max="20" width="19.140625" customWidth="1"/>
    <col min="22" max="22" width="14.140625" customWidth="1"/>
    <col min="23" max="23" width="12.7109375" customWidth="1"/>
    <col min="24" max="24" width="13.42578125" customWidth="1"/>
  </cols>
  <sheetData>
    <row r="1" spans="1:25" ht="16.5" thickBot="1" x14ac:dyDescent="0.3">
      <c r="A1" s="258" t="s">
        <v>217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  <c r="Q1" s="259"/>
      <c r="R1" s="259"/>
      <c r="S1" s="288"/>
      <c r="T1" s="288"/>
    </row>
    <row r="2" spans="1:25" ht="142.5" x14ac:dyDescent="0.25">
      <c r="A2" s="30" t="s">
        <v>78</v>
      </c>
      <c r="B2" s="31" t="s">
        <v>79</v>
      </c>
      <c r="C2" s="31" t="s">
        <v>80</v>
      </c>
      <c r="D2" s="31" t="s">
        <v>81</v>
      </c>
      <c r="E2" s="31" t="s">
        <v>82</v>
      </c>
      <c r="F2" s="31" t="s">
        <v>83</v>
      </c>
      <c r="G2" s="32" t="s">
        <v>84</v>
      </c>
      <c r="H2" s="33" t="s">
        <v>211</v>
      </c>
      <c r="I2" s="34" t="s">
        <v>85</v>
      </c>
      <c r="J2" s="35" t="s">
        <v>212</v>
      </c>
      <c r="K2" s="33" t="s">
        <v>198</v>
      </c>
      <c r="L2" s="34" t="s">
        <v>85</v>
      </c>
      <c r="M2" s="35" t="s">
        <v>213</v>
      </c>
      <c r="N2" s="33" t="s">
        <v>214</v>
      </c>
      <c r="O2" s="34" t="s">
        <v>85</v>
      </c>
      <c r="P2" s="118" t="s">
        <v>215</v>
      </c>
      <c r="Q2" s="33" t="s">
        <v>86</v>
      </c>
      <c r="R2" s="118" t="s">
        <v>157</v>
      </c>
      <c r="S2" s="33" t="s">
        <v>182</v>
      </c>
      <c r="T2" s="35" t="s">
        <v>165</v>
      </c>
    </row>
    <row r="3" spans="1:25" ht="15.75" thickBot="1" x14ac:dyDescent="0.3">
      <c r="A3" s="36" t="s">
        <v>31</v>
      </c>
      <c r="B3" s="37" t="s">
        <v>32</v>
      </c>
      <c r="C3" s="37" t="s">
        <v>33</v>
      </c>
      <c r="D3" s="37" t="s">
        <v>34</v>
      </c>
      <c r="E3" s="37" t="s">
        <v>35</v>
      </c>
      <c r="F3" s="37" t="s">
        <v>36</v>
      </c>
      <c r="G3" s="38"/>
      <c r="H3" s="39" t="s">
        <v>37</v>
      </c>
      <c r="I3" s="37" t="s">
        <v>38</v>
      </c>
      <c r="J3" s="38" t="s">
        <v>39</v>
      </c>
      <c r="K3" s="39" t="s">
        <v>40</v>
      </c>
      <c r="L3" s="37" t="s">
        <v>41</v>
      </c>
      <c r="M3" s="38" t="s">
        <v>42</v>
      </c>
      <c r="N3" s="39" t="s">
        <v>50</v>
      </c>
      <c r="O3" s="37" t="s">
        <v>43</v>
      </c>
      <c r="P3" s="119" t="s">
        <v>44</v>
      </c>
      <c r="Q3" s="39" t="s">
        <v>87</v>
      </c>
      <c r="R3" s="122" t="s">
        <v>158</v>
      </c>
      <c r="S3" s="158" t="s">
        <v>161</v>
      </c>
      <c r="T3" s="117" t="s">
        <v>162</v>
      </c>
    </row>
    <row r="4" spans="1:25" ht="16.5" thickBot="1" x14ac:dyDescent="0.3">
      <c r="A4" s="275" t="s">
        <v>88</v>
      </c>
      <c r="B4" s="276"/>
      <c r="C4" s="276"/>
      <c r="D4" s="276"/>
      <c r="E4" s="276"/>
      <c r="F4" s="276"/>
      <c r="G4" s="276"/>
      <c r="H4" s="277"/>
      <c r="I4" s="277"/>
      <c r="J4" s="277"/>
      <c r="K4" s="277"/>
      <c r="L4" s="277"/>
      <c r="M4" s="277"/>
      <c r="N4" s="277"/>
      <c r="O4" s="277"/>
      <c r="P4" s="277"/>
      <c r="Q4" s="277"/>
      <c r="R4" s="277"/>
      <c r="S4" s="294"/>
      <c r="T4" s="295"/>
      <c r="U4" s="130"/>
      <c r="V4" s="130" t="s">
        <v>218</v>
      </c>
      <c r="W4" s="130" t="s">
        <v>219</v>
      </c>
      <c r="X4" s="130" t="s">
        <v>220</v>
      </c>
      <c r="Y4" s="130"/>
    </row>
    <row r="5" spans="1:25" ht="45" x14ac:dyDescent="0.25">
      <c r="A5" s="44">
        <v>1</v>
      </c>
      <c r="B5" s="45" t="s">
        <v>196</v>
      </c>
      <c r="C5" s="45" t="s">
        <v>112</v>
      </c>
      <c r="D5" s="206" t="s">
        <v>91</v>
      </c>
      <c r="E5" s="208" t="s">
        <v>92</v>
      </c>
      <c r="F5" s="209">
        <v>2</v>
      </c>
      <c r="G5" s="214" t="s">
        <v>197</v>
      </c>
      <c r="H5" s="202">
        <v>850</v>
      </c>
      <c r="I5" s="203">
        <v>0.08</v>
      </c>
      <c r="J5" s="204">
        <v>918</v>
      </c>
      <c r="K5" s="202">
        <f>H5*30%</f>
        <v>255</v>
      </c>
      <c r="L5" s="203">
        <v>0.08</v>
      </c>
      <c r="M5" s="204">
        <f>J5*30%</f>
        <v>275.39999999999998</v>
      </c>
      <c r="N5" s="202">
        <f>H5*30%</f>
        <v>255</v>
      </c>
      <c r="O5" s="203">
        <v>0.08</v>
      </c>
      <c r="P5" s="204">
        <f>J5*30%</f>
        <v>275.39999999999998</v>
      </c>
      <c r="Q5" s="202">
        <f t="shared" ref="Q5:Q11" si="0">F5*(J5+M5+P5)</f>
        <v>2937.6000000000004</v>
      </c>
      <c r="R5" s="204">
        <f>F5*(H5+K5+N5)</f>
        <v>2720</v>
      </c>
      <c r="S5" s="154">
        <f>F5*P5</f>
        <v>550.79999999999995</v>
      </c>
      <c r="T5" s="155">
        <f>F5*N5</f>
        <v>510</v>
      </c>
      <c r="U5" s="130"/>
      <c r="V5" s="232">
        <f>F5*J5</f>
        <v>1836</v>
      </c>
      <c r="W5" s="232">
        <f>F5*M5</f>
        <v>550.79999999999995</v>
      </c>
      <c r="X5" s="232">
        <f>F5*P5</f>
        <v>550.79999999999995</v>
      </c>
      <c r="Y5" s="130"/>
    </row>
    <row r="6" spans="1:25" ht="45" x14ac:dyDescent="0.25">
      <c r="A6" s="44">
        <v>2</v>
      </c>
      <c r="B6" s="45" t="s">
        <v>120</v>
      </c>
      <c r="C6" s="45" t="s">
        <v>112</v>
      </c>
      <c r="D6" s="206" t="s">
        <v>91</v>
      </c>
      <c r="E6" s="210" t="s">
        <v>92</v>
      </c>
      <c r="F6" s="45">
        <v>2</v>
      </c>
      <c r="G6" s="47" t="s">
        <v>197</v>
      </c>
      <c r="H6" s="76">
        <v>850</v>
      </c>
      <c r="I6" s="78">
        <v>0.08</v>
      </c>
      <c r="J6" s="77">
        <v>918</v>
      </c>
      <c r="K6" s="76">
        <f t="shared" ref="K6:K11" si="1">H6*30%</f>
        <v>255</v>
      </c>
      <c r="L6" s="78">
        <v>0.08</v>
      </c>
      <c r="M6" s="77">
        <f t="shared" ref="M6:M11" si="2">J6*30%</f>
        <v>275.39999999999998</v>
      </c>
      <c r="N6" s="76">
        <f t="shared" ref="N6:N11" si="3">H6*30%</f>
        <v>255</v>
      </c>
      <c r="O6" s="78">
        <v>0.08</v>
      </c>
      <c r="P6" s="77">
        <f t="shared" ref="P6:P11" si="4">J6*30%</f>
        <v>275.39999999999998</v>
      </c>
      <c r="Q6" s="76">
        <f t="shared" si="0"/>
        <v>2937.6000000000004</v>
      </c>
      <c r="R6" s="77">
        <f t="shared" ref="R6:R11" si="5">F6*(H6+K6+N6)</f>
        <v>2720</v>
      </c>
      <c r="S6" s="156">
        <f t="shared" ref="S6:S11" si="6">F6*P6</f>
        <v>550.79999999999995</v>
      </c>
      <c r="T6" s="157">
        <f t="shared" ref="T6:T11" si="7">F6*N6</f>
        <v>510</v>
      </c>
      <c r="U6" s="130"/>
      <c r="V6" s="232">
        <f t="shared" ref="V6:V11" si="8">F6*J6</f>
        <v>1836</v>
      </c>
      <c r="W6" s="232">
        <f t="shared" ref="W6:W11" si="9">F6*M6</f>
        <v>550.79999999999995</v>
      </c>
      <c r="X6" s="232">
        <f t="shared" ref="X6:X11" si="10">F6*P6</f>
        <v>550.79999999999995</v>
      </c>
      <c r="Y6" s="130"/>
    </row>
    <row r="7" spans="1:25" ht="45" x14ac:dyDescent="0.25">
      <c r="A7" s="44">
        <v>3</v>
      </c>
      <c r="B7" s="45" t="s">
        <v>117</v>
      </c>
      <c r="C7" s="45" t="s">
        <v>199</v>
      </c>
      <c r="D7" s="206" t="s">
        <v>96</v>
      </c>
      <c r="E7" s="210" t="s">
        <v>92</v>
      </c>
      <c r="F7" s="49">
        <v>11</v>
      </c>
      <c r="G7" s="47" t="s">
        <v>197</v>
      </c>
      <c r="H7" s="76">
        <v>850</v>
      </c>
      <c r="I7" s="78">
        <v>0.08</v>
      </c>
      <c r="J7" s="77">
        <v>918</v>
      </c>
      <c r="K7" s="76">
        <f t="shared" si="1"/>
        <v>255</v>
      </c>
      <c r="L7" s="78">
        <v>0.08</v>
      </c>
      <c r="M7" s="77">
        <f t="shared" si="2"/>
        <v>275.39999999999998</v>
      </c>
      <c r="N7" s="76">
        <f t="shared" si="3"/>
        <v>255</v>
      </c>
      <c r="O7" s="78">
        <v>0.08</v>
      </c>
      <c r="P7" s="77">
        <f t="shared" si="4"/>
        <v>275.39999999999998</v>
      </c>
      <c r="Q7" s="76">
        <f t="shared" si="0"/>
        <v>16156.800000000003</v>
      </c>
      <c r="R7" s="77">
        <f t="shared" si="5"/>
        <v>14960</v>
      </c>
      <c r="S7" s="156">
        <f t="shared" si="6"/>
        <v>3029.3999999999996</v>
      </c>
      <c r="T7" s="157">
        <f t="shared" si="7"/>
        <v>2805</v>
      </c>
      <c r="U7" s="130"/>
      <c r="V7" s="232">
        <f t="shared" si="8"/>
        <v>10098</v>
      </c>
      <c r="W7" s="232">
        <f t="shared" si="9"/>
        <v>3029.3999999999996</v>
      </c>
      <c r="X7" s="232">
        <f t="shared" si="10"/>
        <v>3029.3999999999996</v>
      </c>
      <c r="Y7" s="130"/>
    </row>
    <row r="8" spans="1:25" ht="45" x14ac:dyDescent="0.25">
      <c r="A8" s="44">
        <v>4</v>
      </c>
      <c r="B8" s="45" t="s">
        <v>200</v>
      </c>
      <c r="C8" s="45" t="s">
        <v>201</v>
      </c>
      <c r="D8" s="206" t="s">
        <v>91</v>
      </c>
      <c r="E8" s="210" t="s">
        <v>92</v>
      </c>
      <c r="F8" s="49">
        <v>3</v>
      </c>
      <c r="G8" s="47" t="s">
        <v>202</v>
      </c>
      <c r="H8" s="76">
        <v>850</v>
      </c>
      <c r="I8" s="78">
        <v>0.08</v>
      </c>
      <c r="J8" s="77">
        <v>918</v>
      </c>
      <c r="K8" s="76">
        <f t="shared" si="1"/>
        <v>255</v>
      </c>
      <c r="L8" s="78">
        <v>0.08</v>
      </c>
      <c r="M8" s="77">
        <f t="shared" si="2"/>
        <v>275.39999999999998</v>
      </c>
      <c r="N8" s="76">
        <f t="shared" si="3"/>
        <v>255</v>
      </c>
      <c r="O8" s="78">
        <v>0.08</v>
      </c>
      <c r="P8" s="77">
        <f t="shared" si="4"/>
        <v>275.39999999999998</v>
      </c>
      <c r="Q8" s="76">
        <f t="shared" si="0"/>
        <v>4406.4000000000005</v>
      </c>
      <c r="R8" s="77">
        <f t="shared" si="5"/>
        <v>4080</v>
      </c>
      <c r="S8" s="156">
        <f t="shared" si="6"/>
        <v>826.19999999999993</v>
      </c>
      <c r="T8" s="157">
        <f t="shared" si="7"/>
        <v>765</v>
      </c>
      <c r="U8" s="130"/>
      <c r="V8" s="232">
        <f t="shared" si="8"/>
        <v>2754</v>
      </c>
      <c r="W8" s="232">
        <f t="shared" si="9"/>
        <v>826.19999999999993</v>
      </c>
      <c r="X8" s="232">
        <f t="shared" si="10"/>
        <v>826.19999999999993</v>
      </c>
      <c r="Y8" s="130"/>
    </row>
    <row r="9" spans="1:25" ht="45" x14ac:dyDescent="0.25">
      <c r="A9" s="44">
        <v>5</v>
      </c>
      <c r="B9" s="45" t="s">
        <v>203</v>
      </c>
      <c r="C9" s="45" t="s">
        <v>192</v>
      </c>
      <c r="D9" s="206" t="s">
        <v>91</v>
      </c>
      <c r="E9" s="210" t="s">
        <v>92</v>
      </c>
      <c r="F9" s="49">
        <v>14</v>
      </c>
      <c r="G9" s="47" t="s">
        <v>202</v>
      </c>
      <c r="H9" s="76">
        <v>850</v>
      </c>
      <c r="I9" s="78">
        <v>0.08</v>
      </c>
      <c r="J9" s="77">
        <v>918</v>
      </c>
      <c r="K9" s="76">
        <f t="shared" si="1"/>
        <v>255</v>
      </c>
      <c r="L9" s="78">
        <v>0.08</v>
      </c>
      <c r="M9" s="77">
        <f t="shared" si="2"/>
        <v>275.39999999999998</v>
      </c>
      <c r="N9" s="76">
        <f t="shared" si="3"/>
        <v>255</v>
      </c>
      <c r="O9" s="78">
        <v>0.08</v>
      </c>
      <c r="P9" s="77">
        <f t="shared" si="4"/>
        <v>275.39999999999998</v>
      </c>
      <c r="Q9" s="76">
        <f t="shared" si="0"/>
        <v>20563.200000000004</v>
      </c>
      <c r="R9" s="77">
        <f t="shared" si="5"/>
        <v>19040</v>
      </c>
      <c r="S9" s="156">
        <f t="shared" si="6"/>
        <v>3855.5999999999995</v>
      </c>
      <c r="T9" s="157">
        <f t="shared" si="7"/>
        <v>3570</v>
      </c>
      <c r="U9" s="130"/>
      <c r="V9" s="232">
        <f t="shared" si="8"/>
        <v>12852</v>
      </c>
      <c r="W9" s="232">
        <f t="shared" si="9"/>
        <v>3855.5999999999995</v>
      </c>
      <c r="X9" s="232">
        <f t="shared" si="10"/>
        <v>3855.5999999999995</v>
      </c>
      <c r="Y9" s="130"/>
    </row>
    <row r="10" spans="1:25" ht="45" x14ac:dyDescent="0.25">
      <c r="A10" s="44">
        <v>6</v>
      </c>
      <c r="B10" s="45" t="s">
        <v>98</v>
      </c>
      <c r="C10" s="45" t="s">
        <v>192</v>
      </c>
      <c r="D10" s="206" t="s">
        <v>91</v>
      </c>
      <c r="E10" s="210" t="s">
        <v>92</v>
      </c>
      <c r="F10" s="49">
        <v>3</v>
      </c>
      <c r="G10" s="47" t="s">
        <v>197</v>
      </c>
      <c r="H10" s="76">
        <v>850</v>
      </c>
      <c r="I10" s="78">
        <v>0.08</v>
      </c>
      <c r="J10" s="77">
        <v>918</v>
      </c>
      <c r="K10" s="76">
        <f t="shared" si="1"/>
        <v>255</v>
      </c>
      <c r="L10" s="78">
        <v>0.08</v>
      </c>
      <c r="M10" s="77">
        <f t="shared" si="2"/>
        <v>275.39999999999998</v>
      </c>
      <c r="N10" s="76">
        <f t="shared" si="3"/>
        <v>255</v>
      </c>
      <c r="O10" s="78">
        <v>0.08</v>
      </c>
      <c r="P10" s="77">
        <f t="shared" si="4"/>
        <v>275.39999999999998</v>
      </c>
      <c r="Q10" s="76">
        <f t="shared" si="0"/>
        <v>4406.4000000000005</v>
      </c>
      <c r="R10" s="77">
        <f t="shared" si="5"/>
        <v>4080</v>
      </c>
      <c r="S10" s="156">
        <f t="shared" si="6"/>
        <v>826.19999999999993</v>
      </c>
      <c r="T10" s="157">
        <f t="shared" si="7"/>
        <v>765</v>
      </c>
      <c r="U10" s="130"/>
      <c r="V10" s="232">
        <f t="shared" si="8"/>
        <v>2754</v>
      </c>
      <c r="W10" s="232">
        <f t="shared" si="9"/>
        <v>826.19999999999993</v>
      </c>
      <c r="X10" s="232">
        <f t="shared" si="10"/>
        <v>826.19999999999993</v>
      </c>
      <c r="Y10" s="130"/>
    </row>
    <row r="11" spans="1:25" ht="45.75" thickBot="1" x14ac:dyDescent="0.3">
      <c r="A11" s="231">
        <v>7</v>
      </c>
      <c r="B11" s="50" t="s">
        <v>205</v>
      </c>
      <c r="C11" s="50" t="s">
        <v>204</v>
      </c>
      <c r="D11" s="207" t="s">
        <v>206</v>
      </c>
      <c r="E11" s="211" t="s">
        <v>92</v>
      </c>
      <c r="F11" s="212">
        <v>2</v>
      </c>
      <c r="G11" s="215" t="s">
        <v>197</v>
      </c>
      <c r="H11" s="82">
        <v>950</v>
      </c>
      <c r="I11" s="79">
        <v>0.08</v>
      </c>
      <c r="J11" s="83">
        <v>1026</v>
      </c>
      <c r="K11" s="82">
        <f t="shared" si="1"/>
        <v>285</v>
      </c>
      <c r="L11" s="79">
        <v>0.08</v>
      </c>
      <c r="M11" s="83">
        <f t="shared" si="2"/>
        <v>307.8</v>
      </c>
      <c r="N11" s="82">
        <f t="shared" si="3"/>
        <v>285</v>
      </c>
      <c r="O11" s="79">
        <v>0.08</v>
      </c>
      <c r="P11" s="83">
        <f t="shared" si="4"/>
        <v>307.8</v>
      </c>
      <c r="Q11" s="226">
        <f t="shared" si="0"/>
        <v>3283.2</v>
      </c>
      <c r="R11" s="227">
        <f t="shared" si="5"/>
        <v>3040</v>
      </c>
      <c r="S11" s="199">
        <f t="shared" si="6"/>
        <v>615.6</v>
      </c>
      <c r="T11" s="200">
        <f t="shared" si="7"/>
        <v>570</v>
      </c>
      <c r="U11" s="130"/>
      <c r="V11" s="232">
        <f t="shared" si="8"/>
        <v>2052</v>
      </c>
      <c r="W11" s="232">
        <f t="shared" si="9"/>
        <v>615.6</v>
      </c>
      <c r="X11" s="232">
        <f t="shared" si="10"/>
        <v>615.6</v>
      </c>
      <c r="Y11" s="130"/>
    </row>
    <row r="12" spans="1:25" ht="15.75" thickBot="1" x14ac:dyDescent="0.3">
      <c r="A12" s="296" t="s">
        <v>209</v>
      </c>
      <c r="B12" s="297"/>
      <c r="C12" s="297"/>
      <c r="D12" s="298"/>
      <c r="E12" s="205" t="s">
        <v>92</v>
      </c>
      <c r="F12" s="201">
        <f>SUM(F5:F11)</f>
        <v>37</v>
      </c>
      <c r="G12" s="301"/>
      <c r="H12" s="302"/>
      <c r="I12" s="302"/>
      <c r="J12" s="302"/>
      <c r="K12" s="302"/>
      <c r="L12" s="302"/>
      <c r="M12" s="302"/>
      <c r="N12" s="302"/>
      <c r="O12" s="302"/>
      <c r="P12" s="302"/>
      <c r="Q12" s="223">
        <f>SUM(Q5:Q11)</f>
        <v>54691.200000000004</v>
      </c>
      <c r="R12" s="224">
        <f>SUM(R5:R11)</f>
        <v>50640</v>
      </c>
      <c r="S12" s="224">
        <f>SUM(S5:S11)</f>
        <v>10254.6</v>
      </c>
      <c r="T12" s="225">
        <f>SUM(T5:T11)</f>
        <v>9495</v>
      </c>
      <c r="U12" s="130"/>
      <c r="V12" s="233">
        <f>SUM(V5:V11)</f>
        <v>34182</v>
      </c>
      <c r="W12" s="233">
        <f>SUM(W5:W11)</f>
        <v>10254.6</v>
      </c>
      <c r="X12" s="233">
        <f>SUM(X5:X11)</f>
        <v>10254.6</v>
      </c>
      <c r="Y12" s="130"/>
    </row>
    <row r="13" spans="1:25" ht="15" customHeight="1" thickBot="1" x14ac:dyDescent="0.3">
      <c r="A13" s="283" t="s">
        <v>133</v>
      </c>
      <c r="B13" s="284"/>
      <c r="C13" s="284"/>
      <c r="D13" s="284"/>
      <c r="E13" s="284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99"/>
      <c r="R13" s="299"/>
      <c r="S13" s="299"/>
      <c r="T13" s="300"/>
      <c r="U13" s="130"/>
      <c r="V13" s="232"/>
      <c r="W13" s="232"/>
      <c r="X13" s="232"/>
      <c r="Y13" s="130"/>
    </row>
    <row r="14" spans="1:25" ht="30.75" thickBot="1" x14ac:dyDescent="0.3">
      <c r="A14" s="213">
        <v>8</v>
      </c>
      <c r="B14" s="63" t="s">
        <v>207</v>
      </c>
      <c r="C14" s="63" t="s">
        <v>208</v>
      </c>
      <c r="D14" s="63" t="s">
        <v>216</v>
      </c>
      <c r="E14" s="213" t="s">
        <v>92</v>
      </c>
      <c r="F14" s="64">
        <v>300</v>
      </c>
      <c r="G14" s="63" t="s">
        <v>202</v>
      </c>
      <c r="H14" s="64">
        <v>45</v>
      </c>
      <c r="I14" s="216">
        <v>0.08</v>
      </c>
      <c r="J14" s="64">
        <v>48.6</v>
      </c>
      <c r="K14" s="64">
        <f>H14*30%</f>
        <v>13.5</v>
      </c>
      <c r="L14" s="216">
        <v>0.08</v>
      </c>
      <c r="M14" s="64">
        <v>14.58</v>
      </c>
      <c r="N14" s="64">
        <f>H14*30%</f>
        <v>13.5</v>
      </c>
      <c r="O14" s="216">
        <v>0.08</v>
      </c>
      <c r="P14" s="217">
        <f>J14*30%</f>
        <v>14.58</v>
      </c>
      <c r="Q14" s="220">
        <f>F14*(J14+M14+P14)</f>
        <v>23328</v>
      </c>
      <c r="R14" s="221">
        <f>F14*(H14+K14+N14)</f>
        <v>21600</v>
      </c>
      <c r="S14" s="221">
        <f>F14*P14</f>
        <v>4374</v>
      </c>
      <c r="T14" s="222">
        <f>F14*N14</f>
        <v>4050</v>
      </c>
      <c r="U14" s="130"/>
      <c r="V14" s="233">
        <f>F14*J14</f>
        <v>14580</v>
      </c>
      <c r="W14" s="233">
        <f>F14*M14</f>
        <v>4374</v>
      </c>
      <c r="X14" s="233">
        <f>F14*P14</f>
        <v>4374</v>
      </c>
      <c r="Y14" s="130"/>
    </row>
    <row r="15" spans="1:25" ht="15.75" thickBot="1" x14ac:dyDescent="0.3">
      <c r="A15" s="296" t="s">
        <v>210</v>
      </c>
      <c r="B15" s="297"/>
      <c r="C15" s="297"/>
      <c r="D15" s="298"/>
      <c r="E15" s="218" t="s">
        <v>92</v>
      </c>
      <c r="F15" s="219">
        <f>F14</f>
        <v>300</v>
      </c>
      <c r="G15" s="303"/>
      <c r="H15" s="304"/>
      <c r="I15" s="304"/>
      <c r="J15" s="304"/>
      <c r="K15" s="304"/>
      <c r="L15" s="304"/>
      <c r="M15" s="304"/>
      <c r="N15" s="304"/>
      <c r="O15" s="304"/>
      <c r="P15" s="304"/>
      <c r="Q15" s="223">
        <f>Q14</f>
        <v>23328</v>
      </c>
      <c r="R15" s="224">
        <f>R14</f>
        <v>21600</v>
      </c>
      <c r="S15" s="224">
        <f>S14</f>
        <v>4374</v>
      </c>
      <c r="T15" s="225">
        <f>T14</f>
        <v>4050</v>
      </c>
      <c r="U15" s="130"/>
      <c r="V15" s="130"/>
      <c r="W15" s="130"/>
      <c r="X15" s="130"/>
      <c r="Y15" s="130"/>
    </row>
    <row r="16" spans="1:25" ht="15.75" thickBot="1" x14ac:dyDescent="0.3">
      <c r="M16" s="292" t="s">
        <v>132</v>
      </c>
      <c r="N16" s="293"/>
      <c r="O16" s="293"/>
      <c r="P16" s="293"/>
      <c r="Q16" s="228">
        <f>Q12+Q15</f>
        <v>78019.200000000012</v>
      </c>
      <c r="R16" s="229">
        <f>R12+R15</f>
        <v>72240</v>
      </c>
      <c r="S16" s="229">
        <f>S12+S15</f>
        <v>14628.6</v>
      </c>
      <c r="T16" s="230">
        <f>T12+T15</f>
        <v>13545</v>
      </c>
      <c r="U16" s="130"/>
      <c r="V16" s="234">
        <f>V12+V14</f>
        <v>48762</v>
      </c>
      <c r="W16" s="235">
        <f>W12+W14</f>
        <v>14628.6</v>
      </c>
      <c r="X16" s="236">
        <f>X12+X14</f>
        <v>14628.6</v>
      </c>
      <c r="Y16" s="130"/>
    </row>
  </sheetData>
  <mergeCells count="8">
    <mergeCell ref="M16:P16"/>
    <mergeCell ref="A1:T1"/>
    <mergeCell ref="A4:T4"/>
    <mergeCell ref="A12:D12"/>
    <mergeCell ref="A13:T13"/>
    <mergeCell ref="A15:D15"/>
    <mergeCell ref="G12:P12"/>
    <mergeCell ref="G15:P15"/>
  </mergeCells>
  <pageMargins left="0.25" right="0.25" top="0.75" bottom="0.75" header="0.3" footer="0.3"/>
  <pageSetup paperSize="9" scale="3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9AA75-73A5-484F-9082-DFC14E250732}">
  <sheetPr>
    <pageSetUpPr fitToPage="1"/>
  </sheetPr>
  <dimension ref="A1:G22"/>
  <sheetViews>
    <sheetView tabSelected="1" zoomScale="60" zoomScaleNormal="60" workbookViewId="0">
      <selection sqref="A1:G22"/>
    </sheetView>
  </sheetViews>
  <sheetFormatPr defaultRowHeight="15" x14ac:dyDescent="0.25"/>
  <cols>
    <col min="2" max="2" width="32.42578125" customWidth="1"/>
    <col min="3" max="3" width="28.7109375" customWidth="1"/>
    <col min="4" max="4" width="102.28515625" customWidth="1"/>
    <col min="7" max="7" width="26.42578125" customWidth="1"/>
  </cols>
  <sheetData>
    <row r="1" spans="1:7" ht="61.5" customHeight="1" thickBot="1" x14ac:dyDescent="0.3">
      <c r="A1" s="305" t="s">
        <v>236</v>
      </c>
      <c r="B1" s="306"/>
      <c r="C1" s="306"/>
      <c r="D1" s="306"/>
      <c r="E1" s="306"/>
      <c r="F1" s="306"/>
      <c r="G1" s="307"/>
    </row>
    <row r="2" spans="1:7" ht="16.5" thickBot="1" x14ac:dyDescent="0.3">
      <c r="A2" s="323" t="s">
        <v>238</v>
      </c>
      <c r="B2" s="324"/>
      <c r="C2" s="324"/>
      <c r="D2" s="324"/>
      <c r="E2" s="324"/>
      <c r="F2" s="324"/>
      <c r="G2" s="325"/>
    </row>
    <row r="3" spans="1:7" ht="35.25" customHeight="1" x14ac:dyDescent="0.25">
      <c r="A3" s="238" t="s">
        <v>78</v>
      </c>
      <c r="B3" s="239" t="s">
        <v>237</v>
      </c>
      <c r="C3" s="239" t="s">
        <v>80</v>
      </c>
      <c r="D3" s="239" t="s">
        <v>81</v>
      </c>
      <c r="E3" s="239" t="s">
        <v>82</v>
      </c>
      <c r="F3" s="239" t="s">
        <v>83</v>
      </c>
      <c r="G3" s="240" t="s">
        <v>84</v>
      </c>
    </row>
    <row r="4" spans="1:7" ht="15.75" thickBot="1" x14ac:dyDescent="0.3">
      <c r="A4" s="241" t="s">
        <v>31</v>
      </c>
      <c r="B4" s="242" t="s">
        <v>32</v>
      </c>
      <c r="C4" s="242" t="s">
        <v>33</v>
      </c>
      <c r="D4" s="242" t="s">
        <v>34</v>
      </c>
      <c r="E4" s="242" t="s">
        <v>35</v>
      </c>
      <c r="F4" s="242" t="s">
        <v>36</v>
      </c>
      <c r="G4" s="243" t="s">
        <v>37</v>
      </c>
    </row>
    <row r="5" spans="1:7" ht="15.75" x14ac:dyDescent="0.25">
      <c r="A5" s="317" t="s">
        <v>88</v>
      </c>
      <c r="B5" s="318"/>
      <c r="C5" s="318"/>
      <c r="D5" s="318"/>
      <c r="E5" s="318"/>
      <c r="F5" s="318"/>
      <c r="G5" s="319"/>
    </row>
    <row r="6" spans="1:7" ht="45" x14ac:dyDescent="0.25">
      <c r="A6" s="244">
        <v>1</v>
      </c>
      <c r="B6" s="245" t="s">
        <v>221</v>
      </c>
      <c r="C6" s="245" t="s">
        <v>229</v>
      </c>
      <c r="D6" s="246" t="s">
        <v>231</v>
      </c>
      <c r="E6" s="247" t="s">
        <v>92</v>
      </c>
      <c r="F6" s="245">
        <v>9</v>
      </c>
      <c r="G6" s="248">
        <v>46341</v>
      </c>
    </row>
    <row r="7" spans="1:7" ht="45" x14ac:dyDescent="0.25">
      <c r="A7" s="244">
        <v>2</v>
      </c>
      <c r="B7" s="245" t="s">
        <v>222</v>
      </c>
      <c r="C7" s="245" t="s">
        <v>239</v>
      </c>
      <c r="D7" s="246" t="s">
        <v>232</v>
      </c>
      <c r="E7" s="247" t="s">
        <v>92</v>
      </c>
      <c r="F7" s="245">
        <v>1</v>
      </c>
      <c r="G7" s="248">
        <v>46341</v>
      </c>
    </row>
    <row r="8" spans="1:7" ht="45" x14ac:dyDescent="0.25">
      <c r="A8" s="244">
        <v>3</v>
      </c>
      <c r="B8" s="245" t="s">
        <v>223</v>
      </c>
      <c r="C8" s="245" t="s">
        <v>240</v>
      </c>
      <c r="D8" s="246" t="s">
        <v>234</v>
      </c>
      <c r="E8" s="247" t="s">
        <v>92</v>
      </c>
      <c r="F8" s="245">
        <v>3</v>
      </c>
      <c r="G8" s="248">
        <v>46341</v>
      </c>
    </row>
    <row r="9" spans="1:7" ht="30" x14ac:dyDescent="0.25">
      <c r="A9" s="244">
        <v>4</v>
      </c>
      <c r="B9" s="245" t="s">
        <v>224</v>
      </c>
      <c r="C9" s="245" t="s">
        <v>241</v>
      </c>
      <c r="D9" s="246" t="s">
        <v>230</v>
      </c>
      <c r="E9" s="247" t="s">
        <v>92</v>
      </c>
      <c r="F9" s="245">
        <v>35</v>
      </c>
      <c r="G9" s="248">
        <v>46341</v>
      </c>
    </row>
    <row r="10" spans="1:7" ht="45" x14ac:dyDescent="0.25">
      <c r="A10" s="244">
        <v>5</v>
      </c>
      <c r="B10" s="245" t="s">
        <v>225</v>
      </c>
      <c r="C10" s="245" t="s">
        <v>242</v>
      </c>
      <c r="D10" s="246" t="s">
        <v>231</v>
      </c>
      <c r="E10" s="247" t="s">
        <v>92</v>
      </c>
      <c r="F10" s="245">
        <v>2</v>
      </c>
      <c r="G10" s="248">
        <v>46341</v>
      </c>
    </row>
    <row r="11" spans="1:7" ht="45" x14ac:dyDescent="0.25">
      <c r="A11" s="244">
        <v>6</v>
      </c>
      <c r="B11" s="245" t="s">
        <v>226</v>
      </c>
      <c r="C11" s="245" t="s">
        <v>242</v>
      </c>
      <c r="D11" s="246" t="s">
        <v>233</v>
      </c>
      <c r="E11" s="247" t="s">
        <v>92</v>
      </c>
      <c r="F11" s="245">
        <v>9</v>
      </c>
      <c r="G11" s="248">
        <v>46341</v>
      </c>
    </row>
    <row r="12" spans="1:7" ht="45" x14ac:dyDescent="0.25">
      <c r="A12" s="244">
        <v>7</v>
      </c>
      <c r="B12" s="245" t="s">
        <v>227</v>
      </c>
      <c r="C12" s="249" t="s">
        <v>243</v>
      </c>
      <c r="D12" s="246" t="s">
        <v>233</v>
      </c>
      <c r="E12" s="247" t="s">
        <v>92</v>
      </c>
      <c r="F12" s="245">
        <v>3</v>
      </c>
      <c r="G12" s="248">
        <v>46341</v>
      </c>
    </row>
    <row r="13" spans="1:7" ht="45" x14ac:dyDescent="0.25">
      <c r="A13" s="244">
        <v>8</v>
      </c>
      <c r="B13" s="245" t="s">
        <v>228</v>
      </c>
      <c r="C13" s="245" t="s">
        <v>244</v>
      </c>
      <c r="D13" s="246" t="s">
        <v>231</v>
      </c>
      <c r="E13" s="247" t="s">
        <v>92</v>
      </c>
      <c r="F13" s="245">
        <v>2</v>
      </c>
      <c r="G13" s="248">
        <v>46341</v>
      </c>
    </row>
    <row r="14" spans="1:7" ht="45" x14ac:dyDescent="0.25">
      <c r="A14" s="244">
        <v>9</v>
      </c>
      <c r="B14" s="245" t="s">
        <v>222</v>
      </c>
      <c r="C14" s="245" t="s">
        <v>245</v>
      </c>
      <c r="D14" s="246" t="s">
        <v>231</v>
      </c>
      <c r="E14" s="247" t="s">
        <v>92</v>
      </c>
      <c r="F14" s="245">
        <v>1</v>
      </c>
      <c r="G14" s="248">
        <v>46341</v>
      </c>
    </row>
    <row r="15" spans="1:7" s="237" customFormat="1" ht="27" customHeight="1" thickBot="1" x14ac:dyDescent="0.3">
      <c r="A15" s="320" t="s">
        <v>209</v>
      </c>
      <c r="B15" s="321"/>
      <c r="C15" s="321"/>
      <c r="D15" s="322"/>
      <c r="E15" s="250" t="s">
        <v>92</v>
      </c>
      <c r="F15" s="251">
        <f>SUM(F6:F14)</f>
        <v>65</v>
      </c>
      <c r="G15" s="252"/>
    </row>
    <row r="16" spans="1:7" ht="15.75" thickBot="1" x14ac:dyDescent="0.3"/>
    <row r="17" spans="1:7" ht="15" customHeight="1" x14ac:dyDescent="0.25">
      <c r="A17" s="308" t="s">
        <v>235</v>
      </c>
      <c r="B17" s="309"/>
      <c r="C17" s="309"/>
      <c r="D17" s="309"/>
      <c r="E17" s="309"/>
      <c r="F17" s="309"/>
      <c r="G17" s="310"/>
    </row>
    <row r="18" spans="1:7" ht="15" customHeight="1" x14ac:dyDescent="0.25">
      <c r="A18" s="311"/>
      <c r="B18" s="312"/>
      <c r="C18" s="312"/>
      <c r="D18" s="312"/>
      <c r="E18" s="312"/>
      <c r="F18" s="312"/>
      <c r="G18" s="313"/>
    </row>
    <row r="19" spans="1:7" ht="15" customHeight="1" x14ac:dyDescent="0.25">
      <c r="A19" s="311"/>
      <c r="B19" s="312"/>
      <c r="C19" s="312"/>
      <c r="D19" s="312"/>
      <c r="E19" s="312"/>
      <c r="F19" s="312"/>
      <c r="G19" s="313"/>
    </row>
    <row r="20" spans="1:7" ht="15" customHeight="1" x14ac:dyDescent="0.25">
      <c r="A20" s="311"/>
      <c r="B20" s="312"/>
      <c r="C20" s="312"/>
      <c r="D20" s="312"/>
      <c r="E20" s="312"/>
      <c r="F20" s="312"/>
      <c r="G20" s="313"/>
    </row>
    <row r="21" spans="1:7" ht="15" customHeight="1" x14ac:dyDescent="0.25">
      <c r="A21" s="311"/>
      <c r="B21" s="312"/>
      <c r="C21" s="312"/>
      <c r="D21" s="312"/>
      <c r="E21" s="312"/>
      <c r="F21" s="312"/>
      <c r="G21" s="313"/>
    </row>
    <row r="22" spans="1:7" ht="15.75" customHeight="1" thickBot="1" x14ac:dyDescent="0.3">
      <c r="A22" s="314"/>
      <c r="B22" s="315"/>
      <c r="C22" s="315"/>
      <c r="D22" s="315"/>
      <c r="E22" s="315"/>
      <c r="F22" s="315"/>
      <c r="G22" s="316"/>
    </row>
  </sheetData>
  <mergeCells count="5">
    <mergeCell ref="A1:G1"/>
    <mergeCell ref="A17:G22"/>
    <mergeCell ref="A5:G5"/>
    <mergeCell ref="A15:D15"/>
    <mergeCell ref="A2:G2"/>
  </mergeCells>
  <pageMargins left="0.25" right="0.25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Rozmowa_P. Starosta</vt:lpstr>
      <vt:lpstr>Kalkulacja kosztów</vt:lpstr>
      <vt:lpstr>Kalkulacja kosztów_2023</vt:lpstr>
      <vt:lpstr>Kalkulacja kosztów_2024</vt:lpstr>
      <vt:lpstr>Kalkulacja kosztów_jesień 2024</vt:lpstr>
      <vt:lpstr>Kalkulacja kosztów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Dominika Grząślewicz-Gabler</dc:creator>
  <cp:lastModifiedBy>Dominika Grząślewicz-Gabler</cp:lastModifiedBy>
  <cp:lastPrinted>2026-08-03T14:46:36Z</cp:lastPrinted>
  <dcterms:created xsi:type="dcterms:W3CDTF">2022-09-06T08:33:16Z</dcterms:created>
  <dcterms:modified xsi:type="dcterms:W3CDTF">2026-08-03T14:57:05Z</dcterms:modified>
</cp:coreProperties>
</file>